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45" windowWidth="12000" windowHeight="6420" tabRatio="956"/>
  </bookViews>
  <sheets>
    <sheet name="Осн. фін. пок." sheetId="14" r:id="rId1"/>
    <sheet name="I. Фін результат" sheetId="2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  <sheet name="Лист1" sheetId="2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>#REF!</definedName>
    <definedName name="Cе511">#REF!</definedName>
    <definedName name="d">'[10]МТР Газ України'!$B$4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G">'[13]МТР Газ України'!$B$1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>[15]!ShowFil</definedName>
    <definedName name="SU_ID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>#REF!</definedName>
    <definedName name="zx">'[4]МТР Газ України'!$F$1</definedName>
    <definedName name="zxc">[5]Inform!$E$38</definedName>
    <definedName name="а">'[14]7  Інші витрати'!#REF!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>'[28]БАЗА  '!#REF!</definedName>
    <definedName name="Д">'[16]МТР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результат'!$3:$5</definedName>
    <definedName name="_xlnm.Print_Titles" localSheetId="2">'ІІ. Розр. з бюджетом'!$3:$5</definedName>
    <definedName name="_xlnm.Print_Titles" localSheetId="3">'ІІІ. Рух грош. коштів'!$3:$5</definedName>
    <definedName name="_xlnm.Print_Titles" localSheetId="0">'Осн. фін. пок.'!$30:$32</definedName>
    <definedName name="Заголовки_для_печати_МИ">'[29]1993'!$A$1:$IV$3,'[29]1993'!$A$1:$A$65536</definedName>
    <definedName name="і">[31]Inform!$F$2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Коефіцієнти'!$A$1:$H$28</definedName>
    <definedName name="_xlnm.Print_Area" localSheetId="6">'6.1. Інша інфо_1'!$A$1:$O$83</definedName>
    <definedName name="_xlnm.Print_Area" localSheetId="7">'6.2. Інша інфо_2'!$A$1:$AF$58</definedName>
    <definedName name="_xlnm.Print_Area" localSheetId="1">'I. Фін результат'!$A$1:$I$120</definedName>
    <definedName name="_xlnm.Print_Area" localSheetId="4">'IV. Кап. інвестиції'!$A$1:$H$17</definedName>
    <definedName name="_xlnm.Print_Area" localSheetId="2">'ІІ. Розр. з бюджетом'!$A$1:$H$48</definedName>
    <definedName name="_xlnm.Print_Area" localSheetId="3">'ІІІ. Рух грош. коштів'!$A$1:$H$98</definedName>
    <definedName name="_xlnm.Print_Area" localSheetId="0">'Осн. фін. пок.'!$A$1:$H$176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>#REF!</definedName>
    <definedName name="т">[33]Inform!$E$6</definedName>
    <definedName name="тариф">[34]Inform!$G$2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'[27]МТР Газ України'!$F$1</definedName>
    <definedName name="ц">'[14]7  Інші витрати'!#REF!</definedName>
    <definedName name="ччч">'[36]БАЗА  '!#REF!</definedName>
    <definedName name="ш">#REF!</definedName>
  </definedNames>
  <calcPr calcId="124519" calcMode="manual" fullCalcOnLoad="1"/>
</workbook>
</file>

<file path=xl/calcChain.xml><?xml version="1.0" encoding="utf-8"?>
<calcChain xmlns="http://schemas.openxmlformats.org/spreadsheetml/2006/main">
  <c r="F95" i="14"/>
  <c r="G95" s="1"/>
  <c r="F97"/>
  <c r="G97" s="1"/>
  <c r="F103"/>
  <c r="G103" s="1"/>
  <c r="F104"/>
  <c r="G104" s="1"/>
  <c r="F106"/>
  <c r="D7" i="2"/>
  <c r="E7" i="11"/>
  <c r="F7" i="2"/>
  <c r="H7"/>
  <c r="H8"/>
  <c r="G8"/>
  <c r="G9"/>
  <c r="H9"/>
  <c r="H10"/>
  <c r="G10"/>
  <c r="G11"/>
  <c r="H11"/>
  <c r="H12"/>
  <c r="G12"/>
  <c r="H13"/>
  <c r="G13"/>
  <c r="H14"/>
  <c r="G14"/>
  <c r="G20"/>
  <c r="H21"/>
  <c r="G21"/>
  <c r="H22"/>
  <c r="G22"/>
  <c r="H23"/>
  <c r="H76"/>
  <c r="G23"/>
  <c r="G76"/>
  <c r="H30"/>
  <c r="G30"/>
  <c r="H31"/>
  <c r="G31"/>
  <c r="H32"/>
  <c r="G32"/>
  <c r="H54"/>
  <c r="G54"/>
  <c r="H57"/>
  <c r="H58"/>
  <c r="G58"/>
  <c r="G57"/>
  <c r="H59"/>
  <c r="G59"/>
  <c r="H60"/>
  <c r="G60"/>
  <c r="G64"/>
  <c r="G65"/>
  <c r="G66"/>
  <c r="H67"/>
  <c r="G67"/>
  <c r="G73"/>
  <c r="H73"/>
  <c r="H74"/>
  <c r="G74"/>
  <c r="G75"/>
  <c r="H75"/>
  <c r="H87"/>
  <c r="G87"/>
  <c r="H92"/>
  <c r="G92"/>
  <c r="H95"/>
  <c r="G95"/>
  <c r="H99"/>
  <c r="G99"/>
  <c r="H100"/>
  <c r="G100"/>
  <c r="H114"/>
  <c r="H113"/>
  <c r="H112"/>
  <c r="H111"/>
  <c r="H110"/>
  <c r="H109"/>
  <c r="H107"/>
  <c r="G107"/>
  <c r="G109"/>
  <c r="G110"/>
  <c r="G111"/>
  <c r="G112"/>
  <c r="G113"/>
  <c r="G114"/>
  <c r="G31" i="19"/>
  <c r="G37"/>
  <c r="G40"/>
  <c r="G21"/>
  <c r="G32"/>
  <c r="G35"/>
  <c r="G36"/>
  <c r="G81" i="18"/>
  <c r="E79"/>
  <c r="E77"/>
  <c r="E71"/>
  <c r="D71"/>
  <c r="F71"/>
  <c r="D69"/>
  <c r="D60"/>
  <c r="F60"/>
  <c r="D52"/>
  <c r="F52"/>
  <c r="F69"/>
  <c r="F50"/>
  <c r="D50"/>
  <c r="D24"/>
  <c r="F24"/>
  <c r="G13"/>
  <c r="G12"/>
  <c r="H6" i="3"/>
  <c r="H7"/>
  <c r="G7"/>
  <c r="G6"/>
  <c r="E6"/>
  <c r="F7"/>
  <c r="D7"/>
  <c r="D6"/>
  <c r="F6"/>
  <c r="A16"/>
  <c r="E19" i="11"/>
  <c r="G7"/>
  <c r="N37" i="10"/>
  <c r="N36"/>
  <c r="N33"/>
  <c r="N32"/>
  <c r="N29"/>
  <c r="N28"/>
  <c r="N27"/>
  <c r="N26"/>
  <c r="N23"/>
  <c r="N22"/>
  <c r="N21"/>
  <c r="N20"/>
  <c r="N17"/>
  <c r="N16"/>
  <c r="N15"/>
  <c r="N14"/>
  <c r="N11"/>
  <c r="L11"/>
  <c r="L16"/>
  <c r="L17"/>
  <c r="L20"/>
  <c r="L21"/>
  <c r="L22"/>
  <c r="L23"/>
  <c r="L26"/>
  <c r="L27"/>
  <c r="L28"/>
  <c r="L29"/>
  <c r="L32"/>
  <c r="L35"/>
  <c r="L36"/>
  <c r="L37"/>
  <c r="D95" i="14"/>
  <c r="D97"/>
  <c r="D21" i="19"/>
  <c r="D23"/>
  <c r="F21"/>
  <c r="F23"/>
  <c r="G23"/>
  <c r="F82" i="14"/>
  <c r="G82"/>
  <c r="F111"/>
  <c r="F110"/>
  <c r="D111"/>
  <c r="D110"/>
  <c r="F37" i="19"/>
  <c r="D7"/>
  <c r="D19" s="1"/>
  <c r="F7"/>
  <c r="G7" s="1"/>
  <c r="F19"/>
  <c r="F93" i="14" s="1"/>
  <c r="F40" i="19"/>
  <c r="D40"/>
  <c r="D32"/>
  <c r="F32"/>
  <c r="F36"/>
  <c r="F35"/>
  <c r="F47"/>
  <c r="F97" i="18" s="1"/>
  <c r="F16" i="3" s="1"/>
  <c r="F27" i="11" s="1"/>
  <c r="D95" i="2"/>
  <c r="F21"/>
  <c r="F23"/>
  <c r="F37" i="14"/>
  <c r="H37" s="1"/>
  <c r="D19" i="2"/>
  <c r="E163" i="14"/>
  <c r="E162"/>
  <c r="D72"/>
  <c r="D73"/>
  <c r="D74"/>
  <c r="D75"/>
  <c r="D76"/>
  <c r="D77"/>
  <c r="F76"/>
  <c r="G76" s="1"/>
  <c r="F75"/>
  <c r="H75" s="1"/>
  <c r="F74"/>
  <c r="G74" s="1"/>
  <c r="F72"/>
  <c r="F79" s="1"/>
  <c r="D34"/>
  <c r="D37"/>
  <c r="D44"/>
  <c r="D46"/>
  <c r="F46"/>
  <c r="G46" s="1"/>
  <c r="F44"/>
  <c r="H44" s="1"/>
  <c r="F34"/>
  <c r="F68" s="1"/>
  <c r="D17" i="2"/>
  <c r="F17"/>
  <c r="F54"/>
  <c r="F57"/>
  <c r="D66"/>
  <c r="F66"/>
  <c r="H66"/>
  <c r="D31"/>
  <c r="D12"/>
  <c r="D110"/>
  <c r="F19"/>
  <c r="D15"/>
  <c r="D112"/>
  <c r="F14"/>
  <c r="D14"/>
  <c r="D10"/>
  <c r="D109"/>
  <c r="D107"/>
  <c r="F10"/>
  <c r="F109"/>
  <c r="F60"/>
  <c r="F15"/>
  <c r="F112"/>
  <c r="E67"/>
  <c r="E76"/>
  <c r="D11"/>
  <c r="D18"/>
  <c r="D20"/>
  <c r="D58"/>
  <c r="D59"/>
  <c r="D60"/>
  <c r="F73"/>
  <c r="F67"/>
  <c r="F74"/>
  <c r="F75"/>
  <c r="D75"/>
  <c r="F65"/>
  <c r="D65"/>
  <c r="F64"/>
  <c r="F32"/>
  <c r="F31"/>
  <c r="F18"/>
  <c r="H18"/>
  <c r="F20"/>
  <c r="F13"/>
  <c r="F111"/>
  <c r="F12"/>
  <c r="F110"/>
  <c r="F11"/>
  <c r="H108"/>
  <c r="I32" i="10"/>
  <c r="F169" i="14"/>
  <c r="H169" s="1"/>
  <c r="I23" i="10"/>
  <c r="I29"/>
  <c r="F166" i="14"/>
  <c r="G166" s="1"/>
  <c r="I17" i="10"/>
  <c r="L33"/>
  <c r="F171" i="14"/>
  <c r="H171" s="1"/>
  <c r="F170"/>
  <c r="G170" s="1"/>
  <c r="I36" i="10"/>
  <c r="I37"/>
  <c r="I11"/>
  <c r="F23"/>
  <c r="F29"/>
  <c r="E166" i="14"/>
  <c r="F17" i="10"/>
  <c r="F11"/>
  <c r="E167" i="14"/>
  <c r="E82"/>
  <c r="E74"/>
  <c r="F73"/>
  <c r="G73" s="1"/>
  <c r="D43"/>
  <c r="E43"/>
  <c r="F43"/>
  <c r="G43"/>
  <c r="H43"/>
  <c r="C43"/>
  <c r="G88" i="2"/>
  <c r="G89"/>
  <c r="G90"/>
  <c r="G91"/>
  <c r="G78"/>
  <c r="G79"/>
  <c r="G80"/>
  <c r="G85"/>
  <c r="G86"/>
  <c r="C76"/>
  <c r="H45" i="18"/>
  <c r="G45"/>
  <c r="G44"/>
  <c r="H8" i="3"/>
  <c r="H10"/>
  <c r="H10" i="18"/>
  <c r="G10" i="19"/>
  <c r="H10"/>
  <c r="E16" i="2"/>
  <c r="G15"/>
  <c r="H19"/>
  <c r="L19" i="10"/>
  <c r="L18"/>
  <c r="L15"/>
  <c r="L14"/>
  <c r="F122" i="14"/>
  <c r="G11" i="3"/>
  <c r="F86" i="14"/>
  <c r="H23" i="19"/>
  <c r="H32"/>
  <c r="H41"/>
  <c r="F9"/>
  <c r="F162" i="14"/>
  <c r="F163"/>
  <c r="F164"/>
  <c r="G164" s="1"/>
  <c r="E34"/>
  <c r="H17" i="2"/>
  <c r="G17"/>
  <c r="G19"/>
  <c r="H68"/>
  <c r="E43" i="18"/>
  <c r="E24"/>
  <c r="H15"/>
  <c r="H17"/>
  <c r="J14" i="9"/>
  <c r="E111" i="2"/>
  <c r="E76" i="14"/>
  <c r="E110" i="2"/>
  <c r="E75" i="14"/>
  <c r="E109" i="2"/>
  <c r="E73"/>
  <c r="E113"/>
  <c r="E78" i="14"/>
  <c r="G68" i="2"/>
  <c r="I57"/>
  <c r="E35" i="19"/>
  <c r="C37"/>
  <c r="E37"/>
  <c r="H64" i="2"/>
  <c r="H65"/>
  <c r="AA6" i="9"/>
  <c r="AD6"/>
  <c r="AA7"/>
  <c r="AD7"/>
  <c r="AA8"/>
  <c r="AD8"/>
  <c r="AA9"/>
  <c r="AD9"/>
  <c r="R10"/>
  <c r="U10"/>
  <c r="X10"/>
  <c r="AA10"/>
  <c r="AD10"/>
  <c r="AA19"/>
  <c r="AD19"/>
  <c r="AA20"/>
  <c r="AD20"/>
  <c r="AA21"/>
  <c r="AD21"/>
  <c r="AA22"/>
  <c r="AD22"/>
  <c r="R23"/>
  <c r="U23"/>
  <c r="X23"/>
  <c r="AA23"/>
  <c r="AD23"/>
  <c r="O32"/>
  <c r="P32"/>
  <c r="S32"/>
  <c r="T32"/>
  <c r="W32"/>
  <c r="X32"/>
  <c r="AA32"/>
  <c r="AB32"/>
  <c r="AC32"/>
  <c r="AD32"/>
  <c r="AE32"/>
  <c r="AF32"/>
  <c r="O33"/>
  <c r="P33"/>
  <c r="S33"/>
  <c r="T33"/>
  <c r="W33"/>
  <c r="X33"/>
  <c r="AA33"/>
  <c r="AB33"/>
  <c r="AC33"/>
  <c r="AD33"/>
  <c r="AE33"/>
  <c r="AF33"/>
  <c r="O34"/>
  <c r="P34"/>
  <c r="S34"/>
  <c r="T34"/>
  <c r="W34"/>
  <c r="X34"/>
  <c r="AA34"/>
  <c r="AB34"/>
  <c r="AC34"/>
  <c r="AD34"/>
  <c r="AE34"/>
  <c r="AF34"/>
  <c r="O35"/>
  <c r="P35"/>
  <c r="S35"/>
  <c r="T35"/>
  <c r="W35"/>
  <c r="X35"/>
  <c r="AA35"/>
  <c r="AB35"/>
  <c r="AC35"/>
  <c r="AD35"/>
  <c r="AE35"/>
  <c r="AF35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M37"/>
  <c r="N37"/>
  <c r="Q37"/>
  <c r="R37"/>
  <c r="U37"/>
  <c r="V37"/>
  <c r="Y37"/>
  <c r="Z37"/>
  <c r="AC37"/>
  <c r="AD37"/>
  <c r="N46"/>
  <c r="N47"/>
  <c r="N48"/>
  <c r="N49"/>
  <c r="N50"/>
  <c r="N51"/>
  <c r="F52"/>
  <c r="H52"/>
  <c r="J52"/>
  <c r="L52"/>
  <c r="N52"/>
  <c r="P52"/>
  <c r="R52"/>
  <c r="T52"/>
  <c r="C11" i="10"/>
  <c r="L12"/>
  <c r="N12"/>
  <c r="L13"/>
  <c r="N13"/>
  <c r="C17"/>
  <c r="C23"/>
  <c r="L24"/>
  <c r="N24"/>
  <c r="L25"/>
  <c r="N25"/>
  <c r="F26"/>
  <c r="F32"/>
  <c r="F27"/>
  <c r="F36"/>
  <c r="F28"/>
  <c r="F37"/>
  <c r="C29"/>
  <c r="C30"/>
  <c r="F30"/>
  <c r="I30"/>
  <c r="F167" i="14"/>
  <c r="L30" i="10"/>
  <c r="N30"/>
  <c r="C31"/>
  <c r="F31"/>
  <c r="I31"/>
  <c r="F168" i="14"/>
  <c r="L31" i="10"/>
  <c r="N31"/>
  <c r="C32"/>
  <c r="L34"/>
  <c r="N34"/>
  <c r="N35"/>
  <c r="C36"/>
  <c r="C37"/>
  <c r="J53"/>
  <c r="K53"/>
  <c r="L53"/>
  <c r="M53"/>
  <c r="N53"/>
  <c r="O53"/>
  <c r="J54"/>
  <c r="K54"/>
  <c r="L54"/>
  <c r="M54"/>
  <c r="N54"/>
  <c r="O54"/>
  <c r="J55"/>
  <c r="K55"/>
  <c r="L55"/>
  <c r="M55"/>
  <c r="N55"/>
  <c r="O55"/>
  <c r="J56"/>
  <c r="K56"/>
  <c r="L56"/>
  <c r="M56"/>
  <c r="N56"/>
  <c r="O56"/>
  <c r="D57"/>
  <c r="G57"/>
  <c r="J57"/>
  <c r="M57"/>
  <c r="K67"/>
  <c r="N74"/>
  <c r="N77"/>
  <c r="N80"/>
  <c r="D83"/>
  <c r="F83"/>
  <c r="H83"/>
  <c r="J83"/>
  <c r="L83"/>
  <c r="N83"/>
  <c r="D14" i="11"/>
  <c r="E14"/>
  <c r="D15"/>
  <c r="E15"/>
  <c r="D19"/>
  <c r="C6" i="3"/>
  <c r="G8"/>
  <c r="G9"/>
  <c r="H9"/>
  <c r="G10"/>
  <c r="H11"/>
  <c r="G12"/>
  <c r="H12"/>
  <c r="G8" i="18"/>
  <c r="H8"/>
  <c r="G9"/>
  <c r="H9"/>
  <c r="G10"/>
  <c r="H13"/>
  <c r="E14"/>
  <c r="G14" s="1"/>
  <c r="H14"/>
  <c r="H16"/>
  <c r="G18"/>
  <c r="H18"/>
  <c r="C19"/>
  <c r="C7"/>
  <c r="D19"/>
  <c r="D7"/>
  <c r="E19"/>
  <c r="F19"/>
  <c r="F7"/>
  <c r="G19"/>
  <c r="H19"/>
  <c r="G20"/>
  <c r="H20"/>
  <c r="G21"/>
  <c r="H21"/>
  <c r="G22"/>
  <c r="H22"/>
  <c r="G23"/>
  <c r="H23"/>
  <c r="G25"/>
  <c r="H25"/>
  <c r="G26"/>
  <c r="H26"/>
  <c r="G27"/>
  <c r="H27"/>
  <c r="C28"/>
  <c r="D28"/>
  <c r="E28"/>
  <c r="F28"/>
  <c r="G28"/>
  <c r="H28"/>
  <c r="G29"/>
  <c r="H29"/>
  <c r="G30"/>
  <c r="H30"/>
  <c r="G31"/>
  <c r="H31"/>
  <c r="G33"/>
  <c r="H33"/>
  <c r="G34"/>
  <c r="H34"/>
  <c r="G35"/>
  <c r="H35"/>
  <c r="G36"/>
  <c r="H36"/>
  <c r="G37"/>
  <c r="H37"/>
  <c r="C38"/>
  <c r="C32"/>
  <c r="D38"/>
  <c r="D32"/>
  <c r="E38"/>
  <c r="E32"/>
  <c r="F38"/>
  <c r="F32"/>
  <c r="G32"/>
  <c r="G38"/>
  <c r="H38"/>
  <c r="G39"/>
  <c r="H39"/>
  <c r="G40"/>
  <c r="H40"/>
  <c r="G41"/>
  <c r="H41"/>
  <c r="G42"/>
  <c r="H42"/>
  <c r="C43"/>
  <c r="D43"/>
  <c r="H44"/>
  <c r="G47"/>
  <c r="H47"/>
  <c r="G48"/>
  <c r="H48"/>
  <c r="G49"/>
  <c r="H49"/>
  <c r="C52"/>
  <c r="E52"/>
  <c r="G52"/>
  <c r="H52"/>
  <c r="G53"/>
  <c r="H53"/>
  <c r="G54"/>
  <c r="H54"/>
  <c r="G55"/>
  <c r="H55"/>
  <c r="G56"/>
  <c r="H56"/>
  <c r="G57"/>
  <c r="H57"/>
  <c r="G58"/>
  <c r="H58"/>
  <c r="G59"/>
  <c r="H59"/>
  <c r="C60"/>
  <c r="E60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C69"/>
  <c r="E69"/>
  <c r="G69"/>
  <c r="H69"/>
  <c r="G72"/>
  <c r="H72"/>
  <c r="C73"/>
  <c r="C71"/>
  <c r="D73"/>
  <c r="E73"/>
  <c r="F73"/>
  <c r="G73"/>
  <c r="H73"/>
  <c r="G74"/>
  <c r="H74"/>
  <c r="G75"/>
  <c r="H75"/>
  <c r="G76"/>
  <c r="H76"/>
  <c r="G77"/>
  <c r="H77"/>
  <c r="G78"/>
  <c r="H78"/>
  <c r="G80"/>
  <c r="H80"/>
  <c r="C81"/>
  <c r="C79"/>
  <c r="D81"/>
  <c r="D79"/>
  <c r="E81"/>
  <c r="F81"/>
  <c r="H81"/>
  <c r="G82"/>
  <c r="H82"/>
  <c r="G83"/>
  <c r="H83"/>
  <c r="G84"/>
  <c r="H84"/>
  <c r="G85"/>
  <c r="H85"/>
  <c r="G86"/>
  <c r="H86"/>
  <c r="G87"/>
  <c r="H87"/>
  <c r="E88"/>
  <c r="G92"/>
  <c r="H92"/>
  <c r="G93"/>
  <c r="H93"/>
  <c r="G8" i="19"/>
  <c r="H8"/>
  <c r="C9"/>
  <c r="D9"/>
  <c r="E9"/>
  <c r="H9"/>
  <c r="G11"/>
  <c r="H11"/>
  <c r="G12"/>
  <c r="H12"/>
  <c r="G13"/>
  <c r="H13"/>
  <c r="G14"/>
  <c r="H14"/>
  <c r="G15"/>
  <c r="H15"/>
  <c r="G16"/>
  <c r="H16"/>
  <c r="G17"/>
  <c r="H17"/>
  <c r="G18"/>
  <c r="H18"/>
  <c r="C21"/>
  <c r="E21"/>
  <c r="G24"/>
  <c r="H24"/>
  <c r="G25"/>
  <c r="H25"/>
  <c r="G26"/>
  <c r="H26"/>
  <c r="G27"/>
  <c r="H27"/>
  <c r="G28"/>
  <c r="H28"/>
  <c r="G29"/>
  <c r="H29"/>
  <c r="G30"/>
  <c r="H30"/>
  <c r="C31"/>
  <c r="E31"/>
  <c r="G33"/>
  <c r="H33"/>
  <c r="G34"/>
  <c r="H34"/>
  <c r="G38"/>
  <c r="H38"/>
  <c r="G39"/>
  <c r="H39"/>
  <c r="C42"/>
  <c r="D42"/>
  <c r="E42"/>
  <c r="F42"/>
  <c r="G42"/>
  <c r="H42"/>
  <c r="G43"/>
  <c r="H43"/>
  <c r="G44"/>
  <c r="H44"/>
  <c r="C45"/>
  <c r="E45"/>
  <c r="C16" i="2"/>
  <c r="C8"/>
  <c r="E8"/>
  <c r="E35" i="14"/>
  <c r="C23" i="2"/>
  <c r="E23"/>
  <c r="E37" i="14"/>
  <c r="G24" i="2"/>
  <c r="H24"/>
  <c r="G25"/>
  <c r="H25"/>
  <c r="G26"/>
  <c r="H26"/>
  <c r="G27"/>
  <c r="H27"/>
  <c r="G28"/>
  <c r="H28"/>
  <c r="G29"/>
  <c r="H29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7"/>
  <c r="H47"/>
  <c r="G48"/>
  <c r="H48"/>
  <c r="G49"/>
  <c r="H49"/>
  <c r="G50"/>
  <c r="H50"/>
  <c r="G51"/>
  <c r="H51"/>
  <c r="G52"/>
  <c r="H52"/>
  <c r="G53"/>
  <c r="H53"/>
  <c r="G55"/>
  <c r="H55"/>
  <c r="G56"/>
  <c r="H56"/>
  <c r="C57"/>
  <c r="C54"/>
  <c r="E57"/>
  <c r="E54"/>
  <c r="E44" i="14"/>
  <c r="G61" i="2"/>
  <c r="H61"/>
  <c r="G62"/>
  <c r="H62"/>
  <c r="G63"/>
  <c r="H63"/>
  <c r="G69"/>
  <c r="H69"/>
  <c r="G70"/>
  <c r="H70"/>
  <c r="G71"/>
  <c r="H71"/>
  <c r="G72"/>
  <c r="H72"/>
  <c r="C74"/>
  <c r="C67"/>
  <c r="G77"/>
  <c r="H77"/>
  <c r="H78"/>
  <c r="H79"/>
  <c r="H80"/>
  <c r="C81"/>
  <c r="D81"/>
  <c r="D56" i="14"/>
  <c r="E81" i="2"/>
  <c r="E56" i="14"/>
  <c r="F81" i="2"/>
  <c r="H81"/>
  <c r="G82"/>
  <c r="H82"/>
  <c r="G83"/>
  <c r="H83"/>
  <c r="C84"/>
  <c r="D84"/>
  <c r="D58" i="14"/>
  <c r="E84" i="2"/>
  <c r="F84"/>
  <c r="H84"/>
  <c r="H85"/>
  <c r="H86"/>
  <c r="H88"/>
  <c r="H89"/>
  <c r="H90"/>
  <c r="H91"/>
  <c r="G93"/>
  <c r="H93"/>
  <c r="G94"/>
  <c r="H94"/>
  <c r="G97"/>
  <c r="C100"/>
  <c r="E100"/>
  <c r="E105"/>
  <c r="C101"/>
  <c r="D101"/>
  <c r="E101"/>
  <c r="F101"/>
  <c r="G101"/>
  <c r="C102"/>
  <c r="D102"/>
  <c r="E102"/>
  <c r="F102"/>
  <c r="G102"/>
  <c r="H102"/>
  <c r="C103"/>
  <c r="D103"/>
  <c r="E103"/>
  <c r="F103"/>
  <c r="G103"/>
  <c r="C104"/>
  <c r="D104"/>
  <c r="E104"/>
  <c r="F104"/>
  <c r="G104"/>
  <c r="H104"/>
  <c r="G108"/>
  <c r="E107"/>
  <c r="E72" i="14"/>
  <c r="C114" i="2"/>
  <c r="C35" i="14"/>
  <c r="C37"/>
  <c r="C38"/>
  <c r="D38"/>
  <c r="E38"/>
  <c r="F38"/>
  <c r="G38" s="1"/>
  <c r="C39"/>
  <c r="D39"/>
  <c r="E39"/>
  <c r="H39" s="1"/>
  <c r="F39"/>
  <c r="C40"/>
  <c r="D40"/>
  <c r="E40"/>
  <c r="F40"/>
  <c r="G40"/>
  <c r="C41"/>
  <c r="E41"/>
  <c r="G41" s="1"/>
  <c r="C42"/>
  <c r="D42"/>
  <c r="E42"/>
  <c r="F42"/>
  <c r="G42"/>
  <c r="C45"/>
  <c r="D45"/>
  <c r="E45"/>
  <c r="H45"/>
  <c r="F45"/>
  <c r="C46"/>
  <c r="E46"/>
  <c r="C47"/>
  <c r="D47"/>
  <c r="E47"/>
  <c r="F47"/>
  <c r="G47" s="1"/>
  <c r="H47"/>
  <c r="C48"/>
  <c r="D48"/>
  <c r="E48"/>
  <c r="F48"/>
  <c r="H48" s="1"/>
  <c r="C52"/>
  <c r="D52"/>
  <c r="D68" s="1"/>
  <c r="E52"/>
  <c r="F52"/>
  <c r="H52" s="1"/>
  <c r="G52"/>
  <c r="C53"/>
  <c r="D53"/>
  <c r="E53"/>
  <c r="H53"/>
  <c r="F53"/>
  <c r="C54"/>
  <c r="D54"/>
  <c r="E54"/>
  <c r="G54" s="1"/>
  <c r="F54"/>
  <c r="C55"/>
  <c r="D55"/>
  <c r="E55"/>
  <c r="F55"/>
  <c r="H55" s="1"/>
  <c r="C56"/>
  <c r="F56"/>
  <c r="G56" s="1"/>
  <c r="C57"/>
  <c r="D57"/>
  <c r="E57"/>
  <c r="H57"/>
  <c r="F57"/>
  <c r="C58"/>
  <c r="E58"/>
  <c r="F58"/>
  <c r="H58" s="1"/>
  <c r="G58"/>
  <c r="C59"/>
  <c r="D59"/>
  <c r="E59"/>
  <c r="H59"/>
  <c r="F59"/>
  <c r="C61"/>
  <c r="D61"/>
  <c r="E61"/>
  <c r="H61" s="1"/>
  <c r="F61"/>
  <c r="C62"/>
  <c r="D62"/>
  <c r="E62"/>
  <c r="H62"/>
  <c r="F62"/>
  <c r="C63"/>
  <c r="D63"/>
  <c r="E63"/>
  <c r="G63" s="1"/>
  <c r="F63"/>
  <c r="H63"/>
  <c r="C64"/>
  <c r="D64"/>
  <c r="E64"/>
  <c r="F64"/>
  <c r="H64" s="1"/>
  <c r="C66"/>
  <c r="D66"/>
  <c r="E66"/>
  <c r="F66"/>
  <c r="H66" s="1"/>
  <c r="G66"/>
  <c r="C67"/>
  <c r="D67"/>
  <c r="E67"/>
  <c r="H67"/>
  <c r="F67"/>
  <c r="C69"/>
  <c r="C70"/>
  <c r="D70"/>
  <c r="E70"/>
  <c r="F70"/>
  <c r="G70" s="1"/>
  <c r="G71"/>
  <c r="H71"/>
  <c r="C72"/>
  <c r="C73"/>
  <c r="C74"/>
  <c r="C75"/>
  <c r="C76"/>
  <c r="C77"/>
  <c r="C79"/>
  <c r="C78"/>
  <c r="C82"/>
  <c r="C85"/>
  <c r="D85"/>
  <c r="D84" s="1"/>
  <c r="E85"/>
  <c r="F85"/>
  <c r="H85" s="1"/>
  <c r="G85"/>
  <c r="C86"/>
  <c r="C84" s="1"/>
  <c r="D86"/>
  <c r="E86"/>
  <c r="H86" s="1"/>
  <c r="G86"/>
  <c r="C87"/>
  <c r="D87"/>
  <c r="E87"/>
  <c r="G87" s="1"/>
  <c r="F87"/>
  <c r="H87" s="1"/>
  <c r="C88"/>
  <c r="D88"/>
  <c r="E88"/>
  <c r="H88" s="1"/>
  <c r="F88"/>
  <c r="G88"/>
  <c r="C89"/>
  <c r="D89"/>
  <c r="E89"/>
  <c r="G89" s="1"/>
  <c r="F89"/>
  <c r="H89" s="1"/>
  <c r="C90"/>
  <c r="D90"/>
  <c r="E90"/>
  <c r="H90" s="1"/>
  <c r="F90"/>
  <c r="G90"/>
  <c r="C91"/>
  <c r="D91"/>
  <c r="E91"/>
  <c r="G91" s="1"/>
  <c r="F91"/>
  <c r="H91" s="1"/>
  <c r="C92"/>
  <c r="D92"/>
  <c r="E92"/>
  <c r="H92" s="1"/>
  <c r="F92"/>
  <c r="G92"/>
  <c r="C95"/>
  <c r="E95"/>
  <c r="C96"/>
  <c r="D96"/>
  <c r="E96"/>
  <c r="C97"/>
  <c r="E97"/>
  <c r="H97" s="1"/>
  <c r="C98"/>
  <c r="D98"/>
  <c r="E98"/>
  <c r="G98" s="1"/>
  <c r="F98"/>
  <c r="H98" s="1"/>
  <c r="C99"/>
  <c r="D99"/>
  <c r="E99"/>
  <c r="H99" s="1"/>
  <c r="F99"/>
  <c r="G99"/>
  <c r="C100"/>
  <c r="D100"/>
  <c r="E100"/>
  <c r="G100" s="1"/>
  <c r="F100"/>
  <c r="H100" s="1"/>
  <c r="C101"/>
  <c r="D101"/>
  <c r="E101"/>
  <c r="H101" s="1"/>
  <c r="F101"/>
  <c r="G101"/>
  <c r="C102"/>
  <c r="D102"/>
  <c r="E102"/>
  <c r="G102" s="1"/>
  <c r="F102"/>
  <c r="H102" s="1"/>
  <c r="C103"/>
  <c r="E103"/>
  <c r="C104"/>
  <c r="E104"/>
  <c r="C105"/>
  <c r="D105"/>
  <c r="E105"/>
  <c r="H105" s="1"/>
  <c r="F105"/>
  <c r="G105"/>
  <c r="C106"/>
  <c r="E106"/>
  <c r="G106" s="1"/>
  <c r="H106"/>
  <c r="C107"/>
  <c r="E107"/>
  <c r="C109"/>
  <c r="D109"/>
  <c r="D115" s="1"/>
  <c r="E109"/>
  <c r="F109"/>
  <c r="G109" s="1"/>
  <c r="H109"/>
  <c r="C110"/>
  <c r="C112"/>
  <c r="D112"/>
  <c r="E112"/>
  <c r="G112" s="1"/>
  <c r="F112"/>
  <c r="H112" s="1"/>
  <c r="C114"/>
  <c r="D114"/>
  <c r="E114"/>
  <c r="F114"/>
  <c r="H114"/>
  <c r="C118"/>
  <c r="E118"/>
  <c r="C119"/>
  <c r="D119"/>
  <c r="E119"/>
  <c r="F119"/>
  <c r="G119" s="1"/>
  <c r="H119"/>
  <c r="C120"/>
  <c r="D120"/>
  <c r="E120"/>
  <c r="F120"/>
  <c r="G120" s="1"/>
  <c r="C121"/>
  <c r="D121"/>
  <c r="E121"/>
  <c r="F121"/>
  <c r="G121" s="1"/>
  <c r="H121"/>
  <c r="C122"/>
  <c r="D122"/>
  <c r="E122"/>
  <c r="H122" s="1"/>
  <c r="G122"/>
  <c r="C123"/>
  <c r="D123"/>
  <c r="E123"/>
  <c r="H123" s="1"/>
  <c r="F123"/>
  <c r="C124"/>
  <c r="D124"/>
  <c r="E125"/>
  <c r="F125"/>
  <c r="H125" s="1"/>
  <c r="G125"/>
  <c r="E126"/>
  <c r="F126"/>
  <c r="H126" s="1"/>
  <c r="G126"/>
  <c r="E127"/>
  <c r="F127"/>
  <c r="H127" s="1"/>
  <c r="G127"/>
  <c r="E128"/>
  <c r="F128"/>
  <c r="H128" s="1"/>
  <c r="G128"/>
  <c r="C134"/>
  <c r="D134"/>
  <c r="G136"/>
  <c r="H136"/>
  <c r="C137"/>
  <c r="D137"/>
  <c r="G137"/>
  <c r="H137"/>
  <c r="G138"/>
  <c r="H138"/>
  <c r="G139"/>
  <c r="H139"/>
  <c r="G140"/>
  <c r="H140"/>
  <c r="G141"/>
  <c r="H141"/>
  <c r="G142"/>
  <c r="H142"/>
  <c r="G143"/>
  <c r="H143"/>
  <c r="G144"/>
  <c r="H144"/>
  <c r="C145"/>
  <c r="C133"/>
  <c r="D145"/>
  <c r="D133"/>
  <c r="G145"/>
  <c r="H145"/>
  <c r="G146"/>
  <c r="H146"/>
  <c r="G147"/>
  <c r="H147"/>
  <c r="G148"/>
  <c r="H148"/>
  <c r="C150"/>
  <c r="D150"/>
  <c r="E151"/>
  <c r="F151"/>
  <c r="H151" s="1"/>
  <c r="G151"/>
  <c r="E152"/>
  <c r="F152"/>
  <c r="H152" s="1"/>
  <c r="G152"/>
  <c r="E153"/>
  <c r="F153"/>
  <c r="H153" s="1"/>
  <c r="G153"/>
  <c r="C154"/>
  <c r="D154"/>
  <c r="E155"/>
  <c r="E154" s="1"/>
  <c r="G154" s="1"/>
  <c r="F155"/>
  <c r="E156"/>
  <c r="H156" s="1"/>
  <c r="F156"/>
  <c r="E157"/>
  <c r="H157" s="1"/>
  <c r="F157"/>
  <c r="C159"/>
  <c r="D159"/>
  <c r="E160"/>
  <c r="E159" s="1"/>
  <c r="F160"/>
  <c r="H160" s="1"/>
  <c r="G160"/>
  <c r="E161"/>
  <c r="F161"/>
  <c r="H161" s="1"/>
  <c r="G161"/>
  <c r="G162"/>
  <c r="G163"/>
  <c r="H163"/>
  <c r="E164"/>
  <c r="E165"/>
  <c r="G167"/>
  <c r="H167"/>
  <c r="E168"/>
  <c r="G168"/>
  <c r="H168"/>
  <c r="E169"/>
  <c r="E170"/>
  <c r="E171"/>
  <c r="C96" i="2"/>
  <c r="E114"/>
  <c r="C34" i="14"/>
  <c r="C36"/>
  <c r="C49" s="1"/>
  <c r="C60" s="1"/>
  <c r="C65" s="1"/>
  <c r="C22" i="2"/>
  <c r="D7" i="11"/>
  <c r="C87" i="2"/>
  <c r="C92"/>
  <c r="C7" i="19"/>
  <c r="C19" s="1"/>
  <c r="C99" i="2"/>
  <c r="C105"/>
  <c r="C83" i="14"/>
  <c r="C93"/>
  <c r="E22" i="2"/>
  <c r="E87"/>
  <c r="E92"/>
  <c r="E7" i="19"/>
  <c r="E19"/>
  <c r="E93" i="14" s="1"/>
  <c r="G15" i="18"/>
  <c r="G17"/>
  <c r="G41" i="19"/>
  <c r="G22"/>
  <c r="H22"/>
  <c r="F96" i="14"/>
  <c r="H96" s="1"/>
  <c r="G96"/>
  <c r="H43" i="18"/>
  <c r="F159" i="14"/>
  <c r="G159" s="1"/>
  <c r="H162"/>
  <c r="G9" i="19"/>
  <c r="H40"/>
  <c r="H37"/>
  <c r="H21"/>
  <c r="H73" i="14"/>
  <c r="H95"/>
  <c r="F154"/>
  <c r="H154" s="1"/>
  <c r="F150"/>
  <c r="E150"/>
  <c r="G150" s="1"/>
  <c r="F124"/>
  <c r="H124" s="1"/>
  <c r="E124"/>
  <c r="C117"/>
  <c r="D18" i="11" s="1"/>
  <c r="D90" i="18"/>
  <c r="D113" i="14"/>
  <c r="C90" i="18"/>
  <c r="C113" i="14"/>
  <c r="H150"/>
  <c r="G124"/>
  <c r="H20" i="2"/>
  <c r="C24" i="18"/>
  <c r="H32"/>
  <c r="C50"/>
  <c r="C111" i="14"/>
  <c r="C115"/>
  <c r="N19" i="10"/>
  <c r="N18"/>
  <c r="E99" i="2"/>
  <c r="E50" i="14"/>
  <c r="E51" s="1"/>
  <c r="H12" i="18"/>
  <c r="C91"/>
  <c r="C94"/>
  <c r="G24"/>
  <c r="H24"/>
  <c r="E90"/>
  <c r="E113" i="14"/>
  <c r="G71" i="18"/>
  <c r="H71"/>
  <c r="E83" i="14"/>
  <c r="E68"/>
  <c r="E69"/>
  <c r="E36"/>
  <c r="E49" s="1"/>
  <c r="E60" s="1"/>
  <c r="E65" s="1"/>
  <c r="D8" i="11"/>
  <c r="C50" i="14"/>
  <c r="H56"/>
  <c r="C44"/>
  <c r="C68"/>
  <c r="C95" i="2"/>
  <c r="D17" i="11"/>
  <c r="H41" i="14"/>
  <c r="E95" i="2"/>
  <c r="H70" i="14"/>
  <c r="G67"/>
  <c r="G64"/>
  <c r="G62"/>
  <c r="G59"/>
  <c r="G57"/>
  <c r="G55"/>
  <c r="G53"/>
  <c r="G48"/>
  <c r="G45"/>
  <c r="H42"/>
  <c r="H40"/>
  <c r="H38"/>
  <c r="H103" i="2"/>
  <c r="H101"/>
  <c r="G84"/>
  <c r="G81"/>
  <c r="H15"/>
  <c r="E96"/>
  <c r="G18"/>
  <c r="G114" i="14"/>
  <c r="C51"/>
  <c r="D13" i="11"/>
  <c r="H74" i="14"/>
  <c r="D91" i="18"/>
  <c r="D94"/>
  <c r="D118" i="14"/>
  <c r="D117"/>
  <c r="E17" i="11" s="1"/>
  <c r="F16" i="2"/>
  <c r="F113"/>
  <c r="D21"/>
  <c r="D16"/>
  <c r="D113"/>
  <c r="D78" i="14"/>
  <c r="D79" s="1"/>
  <c r="F118"/>
  <c r="H118" s="1"/>
  <c r="D41"/>
  <c r="E79"/>
  <c r="D100" i="2"/>
  <c r="H16"/>
  <c r="F100"/>
  <c r="F107"/>
  <c r="F165" i="14"/>
  <c r="H165" s="1"/>
  <c r="D74" i="2"/>
  <c r="D73"/>
  <c r="D67"/>
  <c r="D32"/>
  <c r="G61" i="14"/>
  <c r="G16" i="2"/>
  <c r="D64"/>
  <c r="D57"/>
  <c r="D54"/>
  <c r="F8"/>
  <c r="F95"/>
  <c r="F78" i="14"/>
  <c r="G77" s="1"/>
  <c r="F117"/>
  <c r="F96" i="2"/>
  <c r="F35" i="14"/>
  <c r="H35" s="1"/>
  <c r="F22" i="2"/>
  <c r="D13"/>
  <c r="D23"/>
  <c r="F114"/>
  <c r="F76"/>
  <c r="G96"/>
  <c r="H96"/>
  <c r="F69" i="14"/>
  <c r="G69" s="1"/>
  <c r="D111" i="2"/>
  <c r="D8"/>
  <c r="F99"/>
  <c r="F87"/>
  <c r="F92"/>
  <c r="D35" i="14"/>
  <c r="D36" s="1"/>
  <c r="D49" s="1"/>
  <c r="D60" s="1"/>
  <c r="D65" s="1"/>
  <c r="D96" i="2"/>
  <c r="F105"/>
  <c r="D22"/>
  <c r="D114"/>
  <c r="D69" i="14"/>
  <c r="D76" i="2"/>
  <c r="D99"/>
  <c r="D105"/>
  <c r="D87"/>
  <c r="D92"/>
  <c r="F50" i="14"/>
  <c r="F51" s="1"/>
  <c r="G105" i="2"/>
  <c r="H105"/>
  <c r="D50" i="14"/>
  <c r="D51" s="1"/>
  <c r="E8" i="11"/>
  <c r="G50" i="14"/>
  <c r="H19" i="19"/>
  <c r="H82" i="14"/>
  <c r="G7" i="2"/>
  <c r="D106" i="14"/>
  <c r="D37" i="19"/>
  <c r="D104" i="14"/>
  <c r="H35" i="19"/>
  <c r="F31"/>
  <c r="D36"/>
  <c r="D35"/>
  <c r="D31"/>
  <c r="H36"/>
  <c r="H7"/>
  <c r="D103" i="14"/>
  <c r="D45" i="19"/>
  <c r="D107" i="14"/>
  <c r="F45" i="19"/>
  <c r="H31"/>
  <c r="G45"/>
  <c r="F107" i="14"/>
  <c r="G107"/>
  <c r="H103"/>
  <c r="H45" i="19"/>
  <c r="H107" i="14"/>
  <c r="D9" i="11" l="1"/>
  <c r="C130" i="14"/>
  <c r="D10" i="11"/>
  <c r="C131" i="14"/>
  <c r="C132"/>
  <c r="D11" i="11"/>
  <c r="G79" i="14"/>
  <c r="H78"/>
  <c r="G78"/>
  <c r="H79"/>
  <c r="G93"/>
  <c r="H93"/>
  <c r="H68"/>
  <c r="G68"/>
  <c r="D131"/>
  <c r="D130"/>
  <c r="E11" i="11"/>
  <c r="E10"/>
  <c r="D132" i="14"/>
  <c r="E9" i="11"/>
  <c r="H51" i="14"/>
  <c r="G51"/>
  <c r="D82"/>
  <c r="D93"/>
  <c r="E13" i="11"/>
  <c r="E117" i="14"/>
  <c r="H117" s="1"/>
  <c r="G157"/>
  <c r="G156"/>
  <c r="G155"/>
  <c r="G123"/>
  <c r="H120"/>
  <c r="H54"/>
  <c r="G39"/>
  <c r="E11" i="18"/>
  <c r="D83" i="14"/>
  <c r="E18" i="11"/>
  <c r="G19" i="19"/>
  <c r="G171" i="14"/>
  <c r="G169"/>
  <c r="G165"/>
  <c r="H159"/>
  <c r="G117"/>
  <c r="H104"/>
  <c r="F83"/>
  <c r="H77"/>
  <c r="G72"/>
  <c r="G37"/>
  <c r="H34"/>
  <c r="H46"/>
  <c r="H72"/>
  <c r="H50"/>
  <c r="H155"/>
  <c r="E84"/>
  <c r="F84"/>
  <c r="H170"/>
  <c r="H166"/>
  <c r="H164"/>
  <c r="G118"/>
  <c r="G44"/>
  <c r="G34"/>
  <c r="H69"/>
  <c r="G75"/>
  <c r="G35"/>
  <c r="H76"/>
  <c r="F36"/>
  <c r="G36" l="1"/>
  <c r="H36"/>
  <c r="F49"/>
  <c r="G11" i="18"/>
  <c r="E7"/>
  <c r="H11"/>
  <c r="E110" i="14"/>
  <c r="G84"/>
  <c r="H84"/>
  <c r="G83"/>
  <c r="H83"/>
  <c r="H7" i="18" l="1"/>
  <c r="E50"/>
  <c r="G7"/>
  <c r="G49" i="14"/>
  <c r="F60"/>
  <c r="H49"/>
  <c r="G110"/>
  <c r="H110"/>
  <c r="F65" l="1"/>
  <c r="H60"/>
  <c r="G60"/>
  <c r="G50" i="18"/>
  <c r="E91"/>
  <c r="E94" s="1"/>
  <c r="E111" i="14"/>
  <c r="H50" i="18"/>
  <c r="G65" i="14" l="1"/>
  <c r="H65"/>
  <c r="H111"/>
  <c r="E115"/>
  <c r="G111"/>
  <c r="G91" i="18"/>
  <c r="H91"/>
  <c r="H90"/>
  <c r="G90"/>
  <c r="H88"/>
  <c r="G88"/>
  <c r="H89"/>
  <c r="G89"/>
  <c r="G43"/>
  <c r="H115" i="14"/>
  <c r="G115"/>
  <c r="H113"/>
  <c r="F115"/>
  <c r="F113"/>
  <c r="G113"/>
  <c r="H79" i="18"/>
  <c r="G79"/>
  <c r="H94"/>
  <c r="F89"/>
  <c r="F88"/>
  <c r="F79"/>
  <c r="F90"/>
  <c r="F91"/>
  <c r="F94"/>
  <c r="G94"/>
</calcChain>
</file>

<file path=xl/sharedStrings.xml><?xml version="1.0" encoding="utf-8"?>
<sst xmlns="http://schemas.openxmlformats.org/spreadsheetml/2006/main" count="1179" uniqueCount="530">
  <si>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</si>
  <si>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</si>
  <si>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</si>
  <si>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</si>
  <si>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</si>
  <si>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</si>
  <si>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</si>
  <si>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</si>
  <si>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</si>
  <si>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</si>
  <si>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</si>
  <si>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</si>
  <si>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</si>
  <si>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</si>
  <si>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</si>
  <si>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</si>
  <si>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</si>
  <si>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</si>
  <si>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</si>
  <si>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</si>
  <si>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</si>
  <si>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</si>
  <si>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</si>
  <si>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</si>
  <si>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</si>
  <si>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</si>
  <si>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</si>
  <si>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</si>
  <si>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</si>
  <si>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</si>
  <si>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</si>
  <si>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</si>
  <si>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</si>
  <si>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</si>
  <si>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</si>
  <si>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</si>
  <si>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</si>
  <si>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</si>
  <si>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</si>
  <si>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</si>
  <si>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</si>
  <si>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</si>
  <si>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</si>
  <si>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</si>
  <si>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</si>
  <si>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</si>
  <si>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</si>
  <si>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</si>
  <si>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</si>
  <si>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</si>
  <si>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</si>
  <si>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</si>
  <si>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</si>
  <si>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</si>
  <si>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</si>
  <si>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</si>
  <si>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</si>
  <si>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</si>
  <si>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</si>
  <si>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</si>
  <si>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</si>
  <si>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</si>
  <si>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</si>
  <si>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</si>
  <si>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</si>
  <si>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</si>
  <si>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__________________________________________________________________________________________________________________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</si>
  <si>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</si>
  <si>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</si>
  <si>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</si>
  <si>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</si>
  <si>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</si>
  <si>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</si>
  <si>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</si>
  <si>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</si>
  <si>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</si>
  <si>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</si>
  <si>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</si>
  <si>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Дата видачі / погашення (графік)</t>
  </si>
  <si>
    <t>кредити</t>
  </si>
  <si>
    <t>Отримання коштів за короткостроковими зобов'язаннями, у тому числі:</t>
  </si>
  <si>
    <t xml:space="preserve">позики </t>
  </si>
  <si>
    <t>Фінансовий результат до оподаткування</t>
  </si>
  <si>
    <t>І. Формування фінансових результатів</t>
  </si>
  <si>
    <t>Оптимальне значення</t>
  </si>
  <si>
    <t xml:space="preserve">         (ініціали, прізвище)    </t>
  </si>
  <si>
    <t>у тому числі:</t>
  </si>
  <si>
    <r>
      <t>у тому числі:</t>
    </r>
    <r>
      <rPr>
        <i/>
        <sz val="14"/>
        <rFont val="Times New Roman"/>
        <family val="1"/>
        <charset val="204"/>
      </rPr>
      <t xml:space="preserve"> </t>
    </r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</si>
  <si>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</si>
  <si>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</si>
  <si>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</si>
  <si>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 xml:space="preserve">до Порядку складання, затвердження </t>
  </si>
  <si>
    <t>витрати, пов'язані з використанням власних службових автомобілів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</si>
  <si>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</si>
  <si>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</si>
  <si>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</si>
  <si>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</si>
  <si>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</si>
  <si>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</si>
  <si>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</si>
  <si>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</si>
  <si>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</si>
  <si>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Інформація</t>
  </si>
  <si>
    <t>інші витрати (розшифрувати)</t>
  </si>
  <si>
    <t>інші витрати на збут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</si>
  <si>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</si>
  <si>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</si>
  <si>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</si>
  <si>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</si>
  <si>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</si>
  <si>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</si>
  <si>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</si>
  <si>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</si>
  <si>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</si>
  <si>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Код за ЄДРПОУ</t>
  </si>
  <si>
    <t>Рік</t>
  </si>
  <si>
    <t>Витрати на збут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</si>
  <si>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</si>
  <si>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</si>
  <si>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</si>
  <si>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</si>
  <si>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</si>
  <si>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>Чистий рух коштів від фінансової діяльності 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</si>
  <si>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</si>
  <si>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</si>
  <si>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</si>
  <si>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</si>
  <si>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</si>
  <si>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&gt; 1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</si>
  <si>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</si>
  <si>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</si>
  <si>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</si>
  <si>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</si>
  <si>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</si>
  <si>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</si>
  <si>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</si>
  <si>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</si>
  <si>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</si>
  <si>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</si>
  <si>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</si>
  <si>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Договір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</si>
  <si>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</si>
  <si>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</si>
  <si>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</si>
  <si>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Загальна кошторисна вартість</t>
  </si>
  <si>
    <t xml:space="preserve">IV. Капітальні інвестиції </t>
  </si>
  <si>
    <t>V. Коефіцієнтний аналіз</t>
  </si>
  <si>
    <t>8. Джерела капітальних інвестицій</t>
  </si>
  <si>
    <t>курсові різниці</t>
  </si>
  <si>
    <t>2012/1</t>
  </si>
  <si>
    <t>4010</t>
  </si>
  <si>
    <t>Адміністративні витрати, у тому числі:</t>
  </si>
  <si>
    <t>Рентабельність EBITDA</t>
  </si>
  <si>
    <t>Коефіцієнт фінансової стійкості</t>
  </si>
  <si>
    <t>Елементи операційних витрат</t>
  </si>
  <si>
    <t>Факт наростаючим підсумком з початку року</t>
  </si>
  <si>
    <t>Факт</t>
  </si>
  <si>
    <t>Додаток 3</t>
  </si>
  <si>
    <t>ЗВІТ</t>
  </si>
  <si>
    <t>__________________________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</si>
  <si>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</si>
  <si>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</si>
  <si>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</si>
  <si>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</si>
  <si>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</si>
  <si>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</si>
  <si>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</si>
  <si>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Заборгованість на кінець звітного періоду</t>
  </si>
  <si>
    <t>Найменування об’єкта</t>
  </si>
  <si>
    <t>9. Капітальне будівництво (рядок 4010 таблиці 4)</t>
  </si>
  <si>
    <t xml:space="preserve">та контролю виконання фінансового плану </t>
  </si>
  <si>
    <t>суб'єкта господарювання державного сектору економіки</t>
  </si>
  <si>
    <t xml:space="preserve">          </t>
  </si>
  <si>
    <t xml:space="preserve">                  (підпис)</t>
  </si>
  <si>
    <t>інші операційні витрати (розшифрувати)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</si>
  <si>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</si>
  <si>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</si>
  <si>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</si>
  <si>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</si>
  <si>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</si>
  <si>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</si>
  <si>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Усього зобов'язання і забезпечення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</si>
  <si>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</si>
  <si>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</si>
  <si>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</si>
  <si>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</si>
  <si>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Фінансовий результат від операційної діяльності, рядок 1100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</si>
  <si>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</si>
  <si>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</si>
  <si>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</si>
  <si>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Відхилення,  +/–</t>
  </si>
  <si>
    <t>Виконання, %</t>
  </si>
  <si>
    <t>адміністративно-управлінський персонал</t>
  </si>
  <si>
    <t>працівники</t>
  </si>
  <si>
    <t xml:space="preserve">      2. Перелік підприємств, які включені до консолідованого (зведеного) фінансового плану</t>
  </si>
  <si>
    <t>__________________________________________________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</si>
  <si>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</si>
  <si>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</si>
  <si>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</si>
  <si>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</si>
  <si>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</si>
  <si>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</si>
  <si>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</si>
  <si>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</si>
  <si>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</si>
  <si>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</si>
  <si>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кількість продукції/             наданих послуг, одиниця виміру</t>
  </si>
  <si>
    <t>Примітки</t>
  </si>
  <si>
    <t xml:space="preserve">      Загальна інформація про підприємство (резюме)</t>
  </si>
  <si>
    <t xml:space="preserve">                   (підпис)</t>
  </si>
  <si>
    <t xml:space="preserve">(ініціали, прізвище)    </t>
  </si>
  <si>
    <t xml:space="preserve">             (ініціали, прізвище)    </t>
  </si>
  <si>
    <t>Ковенанти/обмежувальні коефіцієнти</t>
  </si>
  <si>
    <t>Найменування підприємства</t>
  </si>
  <si>
    <t xml:space="preserve">Найменування об’єкта </t>
  </si>
  <si>
    <t>Рік початку        і закінчення будівництва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</si>
  <si>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</si>
  <si>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</si>
  <si>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</si>
  <si>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</si>
  <si>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</si>
  <si>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</si>
  <si>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</si>
  <si>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>(    )</t>
  </si>
  <si>
    <t>зміна ціни одиниці  (вартості продукції/     наданих послуг)</t>
  </si>
  <si>
    <t>Інші операційні доходи, у тому числі:</t>
  </si>
  <si>
    <t>Інші операційні витрати, у тому числі: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</si>
  <si>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</si>
  <si>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</si>
  <si>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</si>
  <si>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</si>
  <si>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фонди</t>
  </si>
  <si>
    <t>Інші цілі</t>
  </si>
  <si>
    <t>Капітальні інвестиції, усього, у тому числі:</t>
  </si>
  <si>
    <t>Джерела капітальних інвестицій, усього, у тому числі:</t>
  </si>
  <si>
    <t>4000/1</t>
  </si>
  <si>
    <t>4000/2</t>
  </si>
  <si>
    <t>4000/3</t>
  </si>
  <si>
    <t>4000/4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</si>
  <si>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</si>
  <si>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</si>
  <si>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</si>
  <si>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</si>
  <si>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</si>
  <si>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операційні доходи, усього, у тому числі:</t>
  </si>
  <si>
    <t>інші операційні доходи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</si>
  <si>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</si>
  <si>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</si>
  <si>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</si>
  <si>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</si>
  <si>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>Надходження авансів від покупців і замовників</t>
  </si>
  <si>
    <t xml:space="preserve">Надходження грошових коштів від фінансової діяльності </t>
  </si>
  <si>
    <t xml:space="preserve">Розрахунки за продукцію (товари, роботи та послуги) </t>
  </si>
  <si>
    <t xml:space="preserve">Розрахунки з оплати праці </t>
  </si>
  <si>
    <t>податок на прибуток підприємств</t>
  </si>
  <si>
    <t>податок на додану вартість</t>
  </si>
  <si>
    <t>рентна плата</t>
  </si>
  <si>
    <t>Повернення коштів до бюджету</t>
  </si>
  <si>
    <t>Отримання коштів за довгостроковими зобов'язаннями, у тому числі:</t>
  </si>
  <si>
    <t>Повернення коштів за довгостроковими зобов'язаннями, у тому числі:</t>
  </si>
  <si>
    <t>Найменування видів діяльності за КВЕД</t>
  </si>
  <si>
    <t>Чистий фінансовий результат, у тому числі:</t>
  </si>
  <si>
    <t>ІІІ. Рух грошових коштів (за прямим методом)</t>
  </si>
  <si>
    <t>Повернення податків і зборів, у тому числі:</t>
  </si>
  <si>
    <t>податку на додану вартість</t>
  </si>
  <si>
    <t>Надходження від власного капіталу</t>
  </si>
  <si>
    <t>Витрачання на викуп власних акцій</t>
  </si>
  <si>
    <t>Чистий рух коштів від операційної діяльності</t>
  </si>
  <si>
    <t>нетипові операційні доходи (розшифрувати)</t>
  </si>
  <si>
    <t>Чистий фінансовий результат</t>
  </si>
  <si>
    <t>І. Рух коштів у результаті операційної діяльності</t>
  </si>
  <si>
    <t>II. Рух коштів у результаті інвестиційної діяльності</t>
  </si>
  <si>
    <t>III. Рух коштів у результаті фінансової діяльності</t>
  </si>
  <si>
    <t>Залишок коштів на початок періоду</t>
  </si>
  <si>
    <t>Залишок коштів на кінець періоду</t>
  </si>
  <si>
    <t>Чистий рух коштів від фінансової діяльності</t>
  </si>
  <si>
    <t>IІІ. Рух грошових коштів</t>
  </si>
  <si>
    <t>ІV. Капітальні інвестиції</t>
  </si>
  <si>
    <t>VI. Звіт про фінансовий стан</t>
  </si>
  <si>
    <t>VІI. Кредитна політика</t>
  </si>
  <si>
    <t>7000</t>
  </si>
  <si>
    <t>7010</t>
  </si>
  <si>
    <t>7001</t>
  </si>
  <si>
    <t>7002</t>
  </si>
  <si>
    <t>7003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</si>
  <si>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</si>
  <si>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</si>
  <si>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</si>
  <si>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</si>
  <si>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</si>
  <si>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</si>
  <si>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</si>
  <si>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</si>
  <si>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</si>
  <si>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</si>
  <si>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</si>
  <si>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</si>
  <si>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</si>
  <si>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6. Витрати, пов'язані з використанням власних службових автомобілів (у складі адміністративних витрат, рядок 1031)</t>
  </si>
  <si>
    <t>7. Витрати на оренду службових автомобілів (у складі адміністративних витрат, рядок 1032)</t>
  </si>
  <si>
    <t>1050/1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</si>
  <si>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</si>
  <si>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</si>
  <si>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</si>
  <si>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</si>
  <si>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</si>
  <si>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</si>
  <si>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Зменшення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</si>
  <si>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</si>
  <si>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</si>
  <si>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</si>
  <si>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</si>
  <si>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Повернено залучених коштів за звітний період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</si>
  <si>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</si>
  <si>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</si>
  <si>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</si>
  <si>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</si>
  <si>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</si>
  <si>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Факт наростаючим підсумком
з початку року</t>
  </si>
  <si>
    <t>Факт наростаючим підсумком 
з початку року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</si>
  <si>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</si>
  <si>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</si>
  <si>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Факт
відповідного періоду минулого року</t>
  </si>
  <si>
    <t>План
звітного періоду</t>
  </si>
  <si>
    <t>Факт
звітного періоду</t>
  </si>
  <si>
    <t>Дата
початку
оренди</t>
  </si>
  <si>
    <t>факт
відповідного періоду
минулого року</t>
  </si>
  <si>
    <t>план
звітного періоду</t>
  </si>
  <si>
    <t>факт
звітного періоду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</si>
  <si>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</si>
  <si>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</si>
  <si>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</si>
  <si>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</si>
  <si>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</si>
  <si>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</si>
  <si>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</si>
  <si>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</si>
  <si>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</si>
  <si>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</si>
  <si>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</si>
  <si>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 xml:space="preserve">Сплата податків, зборів та інших обов'язкових платежів 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</si>
  <si>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</si>
  <si>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</si>
  <si>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</si>
  <si>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</si>
  <si>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</si>
  <si>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</si>
  <si>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</si>
  <si>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</si>
  <si>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</si>
  <si>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</si>
  <si>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нетипові операційні витрати (розшифрувати)</t>
  </si>
  <si>
    <t>Коефіцієнт відношення боргу до EBITDA
(довгострокові зобов'язання, рядок 6030 + поточні зобов'язання, рядок 6040) / EBITDA, рядок 1310</t>
  </si>
  <si>
    <t>x</t>
  </si>
  <si>
    <t>Одиниця виміру, тис. грн</t>
  </si>
  <si>
    <t>рентна плата за користування надрами</t>
  </si>
  <si>
    <t>залучені кредитні кошти</t>
  </si>
  <si>
    <t>бюджетне фінансування</t>
  </si>
  <si>
    <t>інші джерела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</si>
  <si>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</si>
  <si>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</si>
  <si>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</si>
  <si>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</si>
  <si>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</si>
  <si>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</si>
  <si>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</si>
  <si>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</si>
  <si>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</si>
  <si>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</si>
  <si>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</si>
  <si>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 xml:space="preserve">Інші надходження (розшифрувати) 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</si>
  <si>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</si>
  <si>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поточної ліквідності (покриття)
(оборотні активи, рядок 6010 / поточні зобов'язання, рядок 6040)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</si>
  <si>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</si>
  <si>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</si>
  <si>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</si>
  <si>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</si>
  <si>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</si>
  <si>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Відхилення,  +/–
(факт звітного періоду /
план звітного періоду)</t>
  </si>
  <si>
    <t>Виконання, %
(факт звітного періоду /
план звітного періоду)</t>
  </si>
  <si>
    <t>тис. грн (без ПДВ)</t>
  </si>
  <si>
    <t xml:space="preserve">Прибуток </t>
  </si>
  <si>
    <t>Збиток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</si>
  <si>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</si>
  <si>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</si>
  <si>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</si>
  <si>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</si>
  <si>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</si>
  <si>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Надходження грошових коштів від операційної діяльності</t>
  </si>
  <si>
    <t>Цільове фінансування (розшифрувати)</t>
  </si>
  <si>
    <t>Витрачання грошових коштів від операційної діяльності</t>
  </si>
  <si>
    <t>інші зобов’язання з податків і зборів (розшифрувати)</t>
  </si>
  <si>
    <t>Інші витрачання (розшифрувати)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</si>
  <si>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</si>
  <si>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</si>
  <si>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</si>
  <si>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</si>
  <si>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</si>
  <si>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</si>
  <si>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</si>
  <si>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</si>
  <si>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</si>
  <si>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>Виплати за деривативами</t>
  </si>
  <si>
    <t>Інші платежі (розшифрувати)</t>
  </si>
  <si>
    <t>Витрачання грошових коштів від фінансової діяльності</t>
  </si>
  <si>
    <t>члени наглядової ради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</si>
  <si>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</si>
  <si>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</si>
  <si>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>3270/1</t>
  </si>
  <si>
    <t xml:space="preserve">капітальне будівництво (розшифрувати) </t>
  </si>
  <si>
    <t>3270/2</t>
  </si>
  <si>
    <t xml:space="preserve">придбання (створення) нематеріальних активів (розшифрувати) </t>
  </si>
  <si>
    <t>3270/3</t>
  </si>
  <si>
    <t>Чистий рух грошових коштів за звітний період</t>
  </si>
  <si>
    <t>члени правління</t>
  </si>
  <si>
    <t>8024</t>
  </si>
  <si>
    <t>8025</t>
  </si>
  <si>
    <t>8004</t>
  </si>
  <si>
    <t>8005</t>
  </si>
  <si>
    <t>Код</t>
  </si>
  <si>
    <t xml:space="preserve">про виконання фінансового плану </t>
  </si>
  <si>
    <t>член наглядової ради</t>
  </si>
  <si>
    <t>член правління</t>
  </si>
  <si>
    <t>керівник</t>
  </si>
  <si>
    <t>працівник</t>
  </si>
  <si>
    <t>адміністративно-управлінський працівник</t>
  </si>
  <si>
    <t xml:space="preserve">керівник, усього, у тому числі: </t>
  </si>
  <si>
    <t>Зобов’язання з податків, зборів та інших обов’язкових платежів, у тому числі:</t>
  </si>
  <si>
    <t>3156/1</t>
  </si>
  <si>
    <t>3156/2</t>
  </si>
  <si>
    <t>Надходження від деривативів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</si>
  <si>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</si>
  <si>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</si>
  <si>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</si>
  <si>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Середньомісячні витрати на оплату праці одного працівника (гривень), усього, у тому числі: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</si>
  <si>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</si>
  <si>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</si>
  <si>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(пункт 11)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</si>
  <si>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</si>
  <si>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зазначити граничне значення коефіцієнта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</si>
  <si>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
працівників, зовнішніх сумісників та працівників,
які  працюють за цивільно-правовими договорами)</t>
    </r>
    <r>
      <rPr>
        <b/>
        <sz val="14"/>
        <rFont val="Times New Roman"/>
        <family val="1"/>
        <charset val="204"/>
      </rPr>
      <t>,
у тому числі:</t>
    </r>
  </si>
  <si>
    <t>Фонд оплати праці, тис. грн,
у тому числі:</t>
  </si>
  <si>
    <t>Витрати на оплату праці,
тис. грн, у тому числі:</t>
  </si>
  <si>
    <t>Середньомісячні витрати на оплату праці одного працівника, грн, усього, у тому числі:</t>
  </si>
  <si>
    <r>
      <t xml:space="preserve">Відхилення,  +/–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</si>
  <si>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r>
      <t xml:space="preserve">Виконання, %
</t>
    </r>
    <r>
      <rPr>
        <sz val="12"/>
        <rFont val="Times New Roman"/>
        <family val="1"/>
        <charset val="204"/>
      </rPr>
      <t>(факт звітного періоду /
план звітного періоду)</t>
    </r>
  </si>
  <si>
    <t>№ з/п</t>
  </si>
  <si>
    <t>Інформація щодо проектно-кошторисної документації (стан розроблення, затвердження, у разі затвердження зазначити 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</si>
  <si>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</si>
  <si>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 xml:space="preserve">      1. Дані про підприємство, персонал та витрати на оплату праці*</t>
  </si>
  <si>
    <t>посадовий оклад</t>
  </si>
  <si>
    <t>преміювання</t>
  </si>
  <si>
    <t xml:space="preserve">інші виплати, передбачені законодавством </t>
  </si>
  <si>
    <t xml:space="preserve">      * 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 </t>
  </si>
  <si>
    <t>(квартал)</t>
  </si>
  <si>
    <t>Звітний період (квартал)</t>
  </si>
  <si>
    <r>
      <t xml:space="preserve">Середня кількість працівників </t>
    </r>
    <r>
      <rPr>
        <sz val="14"/>
        <color indexed="8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color indexed="8"/>
        <rFont val="Times New Roman"/>
        <family val="1"/>
        <charset val="204"/>
      </rPr>
      <t>, у тому числі:</t>
    </r>
  </si>
  <si>
    <t>1018/1</t>
  </si>
  <si>
    <t>Предмети, матеріали, обладнання та інвентар</t>
  </si>
  <si>
    <t>1018/2</t>
  </si>
  <si>
    <t>Медикаменти та перев'язувальні матеріали</t>
  </si>
  <si>
    <t>1018/3</t>
  </si>
  <si>
    <t>Продукти харчування</t>
  </si>
  <si>
    <t>1018/4</t>
  </si>
  <si>
    <t>Централізовані заходи з лікування онкологічних хворих</t>
  </si>
  <si>
    <t>1073/1</t>
  </si>
  <si>
    <t>Централізовані заходи з лікування хворих на цукровий та нецукровий діабет</t>
  </si>
  <si>
    <t>1073/2</t>
  </si>
  <si>
    <t>1073/3</t>
  </si>
  <si>
    <t>Надання населенню міста медичної допомоги за місцем проживання та заходи підтримки комунальних підприємств, що надають вторинну медичну допомогу комплексної програми "Здоров'я на 2021 рік"</t>
  </si>
  <si>
    <t>1086/1</t>
  </si>
  <si>
    <t>1086/2</t>
  </si>
  <si>
    <t>Інші операційні витрати (комунальні послуги, відрядження, зв'язок, охорона праці, навчання, ремонт, програми, відшкодування функціональних досліджень та інші відшкодування)</t>
  </si>
  <si>
    <t>3040/1</t>
  </si>
  <si>
    <t>3040/2</t>
  </si>
  <si>
    <t>3040/3</t>
  </si>
  <si>
    <t>Виручка від реалізації продукції (товарів, робіт, послуг) (кошти НСЗУ)</t>
  </si>
  <si>
    <t>3170/1</t>
  </si>
  <si>
    <t>3170/2</t>
  </si>
  <si>
    <t>3170/4</t>
  </si>
  <si>
    <t>3170/5</t>
  </si>
  <si>
    <t>3170/6</t>
  </si>
  <si>
    <t>Плата за послуги</t>
  </si>
  <si>
    <t>3320/1</t>
  </si>
  <si>
    <t>3380/1</t>
  </si>
  <si>
    <r>
      <t>до звіту про виконання фінансового плану за ___</t>
    </r>
    <r>
      <rPr>
        <b/>
        <u/>
        <sz val="14"/>
        <rFont val="Times New Roman"/>
        <family val="1"/>
        <charset val="204"/>
      </rPr>
      <t>_І ___</t>
    </r>
    <r>
      <rPr>
        <b/>
        <sz val="14"/>
        <rFont val="Times New Roman"/>
        <family val="1"/>
        <charset val="204"/>
      </rPr>
      <t>____ (квартал)</t>
    </r>
  </si>
  <si>
    <t>3040/4</t>
  </si>
  <si>
    <t>Фонд соціального страхування</t>
  </si>
  <si>
    <t>Чистий дохід від реалізації продукції (товарів, робіт, послуг) (703)</t>
  </si>
  <si>
    <t>1073/4</t>
  </si>
  <si>
    <t>Платні послуги</t>
  </si>
  <si>
    <t>НСЗУ</t>
  </si>
  <si>
    <t>НСЗУ КОВІД</t>
  </si>
  <si>
    <t>1073/5</t>
  </si>
  <si>
    <t>1073/6</t>
  </si>
  <si>
    <t>% по депозиту</t>
  </si>
  <si>
    <t>Фонд соціального страхування (лікарняні)</t>
  </si>
  <si>
    <t>На кисневу станцію</t>
  </si>
  <si>
    <t>2124/1</t>
  </si>
  <si>
    <t>Військовий збір</t>
  </si>
  <si>
    <t>86.10</t>
  </si>
  <si>
    <t>Комунальне некомерційне підприємство Вараської міської ради "Вараська багатопрофільна лікарня"</t>
  </si>
  <si>
    <t>Комунальне підприємство</t>
  </si>
  <si>
    <t>м. Вараш</t>
  </si>
  <si>
    <t>Охорона здоров'я</t>
  </si>
  <si>
    <t>Діяльність лікарняних закладів (основний)</t>
  </si>
  <si>
    <t>Комунальна</t>
  </si>
  <si>
    <t>вул. Енергетиків  буд.23 м.Вараш, Рівненська область, 34400</t>
  </si>
  <si>
    <t>(03636) 2-43-63</t>
  </si>
  <si>
    <t>Латишенко Тетяна Іванівна</t>
  </si>
  <si>
    <t xml:space="preserve">                           Тетяна ЛАТИШЕНКО                       </t>
  </si>
  <si>
    <t xml:space="preserve">                 Тетяна ЛАТИШЕНКО                </t>
  </si>
  <si>
    <t>3040/5</t>
  </si>
  <si>
    <t>3040/6</t>
  </si>
  <si>
    <t>Соц.страх (лікарняні)</t>
  </si>
  <si>
    <t>Інші (інші комунальні послуги, видатки на соціальне забезпечення, відрядження)</t>
  </si>
  <si>
    <t>Капітальне будівництво</t>
  </si>
  <si>
    <t>1018/5</t>
  </si>
  <si>
    <t>Директор</t>
  </si>
  <si>
    <t xml:space="preserve">                   Директор         </t>
  </si>
  <si>
    <t>Тетяна ЛАТИШЕНКО</t>
  </si>
  <si>
    <t>нетипові операційні витрати</t>
  </si>
  <si>
    <t>Послуги з програмного забезпечененя</t>
  </si>
  <si>
    <t>Повернення коштів за короткостроковими зобов'язаннями, у тому числі:</t>
  </si>
  <si>
    <t>3170/3</t>
  </si>
  <si>
    <t>Розрахунок показника EBITDA</t>
  </si>
  <si>
    <t>Витрати на збут, у тому числі:</t>
  </si>
  <si>
    <r>
      <t>за __</t>
    </r>
    <r>
      <rPr>
        <b/>
        <u/>
        <sz val="14"/>
        <rFont val="Times New Roman"/>
        <family val="1"/>
        <charset val="204"/>
      </rPr>
      <t>_________І I квартал 2021 року____</t>
    </r>
    <r>
      <rPr>
        <b/>
        <sz val="14"/>
        <rFont val="Times New Roman"/>
        <family val="1"/>
        <charset val="204"/>
      </rPr>
      <t>_______________________</t>
    </r>
  </si>
  <si>
    <t>________________________</t>
  </si>
  <si>
    <t xml:space="preserve"> Директор         </t>
  </si>
</sst>
</file>

<file path=xl/styles.xml><?xml version="1.0" encoding="utf-8"?>
<styleSheet xmlns="http://schemas.openxmlformats.org/spreadsheetml/2006/main">
  <numFmts count="20">
    <numFmt numFmtId="165" formatCode="#,##0&quot;р.&quot;;[Red]\-#,##0&quot;р.&quot;"/>
    <numFmt numFmtId="166" formatCode="#,##0.00&quot;р.&quot;;\-#,##0.00&quot;р.&quot;"/>
    <numFmt numFmtId="171" formatCode="_-* #,##0.00_р_._-;\-* #,##0.00_р_._-;_-* &quot;-&quot;??_р_._-;_-@_-"/>
    <numFmt numFmtId="189" formatCode="_-* #,##0.00\ _г_р_н_._-;\-* #,##0.00\ _г_р_н_._-;_-* &quot;-&quot;??\ _г_р_н_._-;_-@_-"/>
    <numFmt numFmtId="197" formatCode="_-* #,##0.00_₴_-;\-* #,##0.00_₴_-;_-* &quot;-&quot;??_₴_-;_-@_-"/>
    <numFmt numFmtId="198" formatCode="0.0"/>
    <numFmt numFmtId="199" formatCode="#,##0.0"/>
    <numFmt numFmtId="204" formatCode="###\ ##0.000"/>
    <numFmt numFmtId="205" formatCode="_(&quot;$&quot;* #,##0.00_);_(&quot;$&quot;* \(#,##0.00\);_(&quot;$&quot;* &quot;-&quot;??_);_(@_)"/>
    <numFmt numFmtId="206" formatCode="_(* #,##0_);_(* \(#,##0\);_(* &quot;-&quot;_);_(@_)"/>
    <numFmt numFmtId="207" formatCode="_(* #,##0.00_);_(* \(#,##0.00\);_(* &quot;-&quot;??_);_(@_)"/>
    <numFmt numFmtId="208" formatCode="#,##0.0_ ;[Red]\-#,##0.0\ "/>
    <numFmt numFmtId="209" formatCode="0.0;\(0.0\);\ ;\-"/>
    <numFmt numFmtId="212" formatCode="_(* #,##0_);_(* \(#,##0\);_(* &quot;-&quot;??_);_(@_)"/>
    <numFmt numFmtId="213" formatCode="_(* #,##0.0_);_(* \(#,##0.0\);_(* &quot;-&quot;??_);_(@_)"/>
    <numFmt numFmtId="215" formatCode="_(* #,##0.0_);_(* \(#,##0.0\);_(* &quot;-&quot;_);_(@_)"/>
    <numFmt numFmtId="216" formatCode="_(* #,##0.00_);_(* \(#,##0.00\);_(* &quot;-&quot;_);_(@_)"/>
    <numFmt numFmtId="219" formatCode="0.0_);\(0.0\)"/>
    <numFmt numFmtId="221" formatCode="_-* #,##0.0_р_._-;\-* #,##0.0_р_._-;_-* &quot;-&quot;?_р_._-;_-@_-"/>
    <numFmt numFmtId="224" formatCode="_-* #,##0.0\ _₴_-;\-* #,##0.0\ _₴_-;_-* &quot;-&quot;?\ _₴_-;_-@_-"/>
  </numFmts>
  <fonts count="8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4">
    <xf numFmtId="0" fontId="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4" fillId="2" borderId="0" applyNumberFormat="0" applyBorder="0" applyAlignment="0" applyProtection="0"/>
    <xf numFmtId="0" fontId="1" fillId="2" borderId="0" applyNumberFormat="0" applyBorder="0" applyAlignment="0" applyProtection="0"/>
    <xf numFmtId="0" fontId="34" fillId="3" borderId="0" applyNumberFormat="0" applyBorder="0" applyAlignment="0" applyProtection="0"/>
    <xf numFmtId="0" fontId="1" fillId="3" borderId="0" applyNumberFormat="0" applyBorder="0" applyAlignment="0" applyProtection="0"/>
    <xf numFmtId="0" fontId="34" fillId="4" borderId="0" applyNumberFormat="0" applyBorder="0" applyAlignment="0" applyProtection="0"/>
    <xf numFmtId="0" fontId="1" fillId="4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6" borderId="0" applyNumberFormat="0" applyBorder="0" applyAlignment="0" applyProtection="0"/>
    <xf numFmtId="0" fontId="1" fillId="6" borderId="0" applyNumberFormat="0" applyBorder="0" applyAlignment="0" applyProtection="0"/>
    <xf numFmtId="0" fontId="34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9" borderId="0" applyNumberFormat="0" applyBorder="0" applyAlignment="0" applyProtection="0"/>
    <xf numFmtId="0" fontId="1" fillId="9" borderId="0" applyNumberFormat="0" applyBorder="0" applyAlignment="0" applyProtection="0"/>
    <xf numFmtId="0" fontId="34" fillId="10" borderId="0" applyNumberFormat="0" applyBorder="0" applyAlignment="0" applyProtection="0"/>
    <xf numFmtId="0" fontId="1" fillId="10" borderId="0" applyNumberFormat="0" applyBorder="0" applyAlignment="0" applyProtection="0"/>
    <xf numFmtId="0" fontId="34" fillId="5" borderId="0" applyNumberFormat="0" applyBorder="0" applyAlignment="0" applyProtection="0"/>
    <xf numFmtId="0" fontId="1" fillId="5" borderId="0" applyNumberFormat="0" applyBorder="0" applyAlignment="0" applyProtection="0"/>
    <xf numFmtId="0" fontId="34" fillId="8" borderId="0" applyNumberFormat="0" applyBorder="0" applyAlignment="0" applyProtection="0"/>
    <xf numFmtId="0" fontId="1" fillId="8" borderId="0" applyNumberFormat="0" applyBorder="0" applyAlignment="0" applyProtection="0"/>
    <xf numFmtId="0" fontId="34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35" fillId="12" borderId="0" applyNumberFormat="0" applyBorder="0" applyAlignment="0" applyProtection="0"/>
    <xf numFmtId="0" fontId="17" fillId="12" borderId="0" applyNumberFormat="0" applyBorder="0" applyAlignment="0" applyProtection="0"/>
    <xf numFmtId="0" fontId="35" fillId="9" borderId="0" applyNumberFormat="0" applyBorder="0" applyAlignment="0" applyProtection="0"/>
    <xf numFmtId="0" fontId="17" fillId="9" borderId="0" applyNumberFormat="0" applyBorder="0" applyAlignment="0" applyProtection="0"/>
    <xf numFmtId="0" fontId="35" fillId="10" borderId="0" applyNumberFormat="0" applyBorder="0" applyAlignment="0" applyProtection="0"/>
    <xf numFmtId="0" fontId="17" fillId="10" borderId="0" applyNumberFormat="0" applyBorder="0" applyAlignment="0" applyProtection="0"/>
    <xf numFmtId="0" fontId="35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4" borderId="0" applyNumberFormat="0" applyBorder="0" applyAlignment="0" applyProtection="0"/>
    <xf numFmtId="0" fontId="35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28" fillId="3" borderId="0" applyNumberFormat="0" applyBorder="0" applyAlignment="0" applyProtection="0"/>
    <xf numFmtId="0" fontId="20" fillId="20" borderId="1" applyNumberFormat="0" applyAlignment="0" applyProtection="0"/>
    <xf numFmtId="0" fontId="25" fillId="21" borderId="2" applyNumberFormat="0" applyAlignment="0" applyProtection="0"/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49" fontId="36" fillId="0" borderId="3">
      <alignment horizontal="center" vertical="center"/>
      <protection locked="0"/>
    </xf>
    <xf numFmtId="189" fontId="14" fillId="0" borderId="0" applyFont="0" applyFill="0" applyBorder="0" applyAlignment="0" applyProtection="0"/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49" fontId="14" fillId="0" borderId="3">
      <alignment horizontal="left" vertical="center"/>
      <protection locked="0"/>
    </xf>
    <xf numFmtId="0" fontId="29" fillId="0" borderId="0" applyNumberFormat="0" applyFill="0" applyBorder="0" applyAlignment="0" applyProtection="0"/>
    <xf numFmtId="204" fontId="37" fillId="0" borderId="0" applyAlignment="0">
      <alignment wrapText="1"/>
    </xf>
    <xf numFmtId="0" fontId="32" fillId="4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8" fillId="7" borderId="1" applyNumberFormat="0" applyAlignment="0" applyProtection="0"/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14" fillId="0" borderId="0" applyNumberFormat="0" applyFont="0" applyAlignment="0">
      <alignment vertical="top" wrapText="1"/>
      <protection locked="0"/>
    </xf>
    <xf numFmtId="49" fontId="39" fillId="22" borderId="7">
      <alignment horizontal="left" vertical="center"/>
      <protection locked="0"/>
    </xf>
    <xf numFmtId="49" fontId="39" fillId="22" borderId="7">
      <alignment horizontal="left" vertical="center"/>
    </xf>
    <xf numFmtId="4" fontId="39" fillId="22" borderId="7">
      <alignment horizontal="right" vertical="center"/>
      <protection locked="0"/>
    </xf>
    <xf numFmtId="4" fontId="39" fillId="22" borderId="7">
      <alignment horizontal="right" vertical="center"/>
    </xf>
    <xf numFmtId="4" fontId="40" fillId="22" borderId="7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6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6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4" fillId="22" borderId="3">
      <alignment horizontal="left" vertical="center"/>
      <protection locked="0"/>
    </xf>
    <xf numFmtId="49" fontId="44" fillId="22" borderId="3">
      <alignment horizontal="left" vertical="center"/>
    </xf>
    <xf numFmtId="49" fontId="45" fillId="22" borderId="3">
      <alignment horizontal="left" vertical="center"/>
      <protection locked="0"/>
    </xf>
    <xf numFmtId="49" fontId="45" fillId="22" borderId="3">
      <alignment horizontal="left" vertical="center"/>
    </xf>
    <xf numFmtId="4" fontId="44" fillId="22" borderId="3">
      <alignment horizontal="right" vertical="center"/>
      <protection locked="0"/>
    </xf>
    <xf numFmtId="4" fontId="44" fillId="22" borderId="3">
      <alignment horizontal="right" vertical="center"/>
    </xf>
    <xf numFmtId="4" fontId="46" fillId="22" borderId="3">
      <alignment horizontal="right" vertical="center"/>
      <protection locked="0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9" fontId="48" fillId="0" borderId="3">
      <alignment horizontal="left" vertical="center"/>
      <protection locked="0"/>
    </xf>
    <xf numFmtId="49" fontId="48" fillId="0" borderId="3">
      <alignment horizontal="left" vertical="center"/>
    </xf>
    <xf numFmtId="4" fontId="47" fillId="0" borderId="3">
      <alignment horizontal="right" vertical="center"/>
      <protection locked="0"/>
    </xf>
    <xf numFmtId="4" fontId="47" fillId="0" borderId="3">
      <alignment horizontal="right" vertical="center"/>
    </xf>
    <xf numFmtId="4" fontId="48" fillId="0" borderId="3">
      <alignment horizontal="right" vertical="center"/>
      <protection locked="0"/>
    </xf>
    <xf numFmtId="49" fontId="49" fillId="0" borderId="3">
      <alignment horizontal="left" vertical="center"/>
      <protection locked="0"/>
    </xf>
    <xf numFmtId="49" fontId="49" fillId="0" borderId="3">
      <alignment horizontal="left" vertical="center"/>
    </xf>
    <xf numFmtId="49" fontId="50" fillId="0" borderId="3">
      <alignment horizontal="left" vertical="center"/>
      <protection locked="0"/>
    </xf>
    <xf numFmtId="49" fontId="50" fillId="0" borderId="3">
      <alignment horizontal="left" vertical="center"/>
    </xf>
    <xf numFmtId="4" fontId="49" fillId="0" borderId="3">
      <alignment horizontal="right" vertical="center"/>
      <protection locked="0"/>
    </xf>
    <xf numFmtId="4" fontId="49" fillId="0" borderId="3">
      <alignment horizontal="right" vertical="center"/>
    </xf>
    <xf numFmtId="49" fontId="47" fillId="0" borderId="3">
      <alignment horizontal="left" vertical="center"/>
      <protection locked="0"/>
    </xf>
    <xf numFmtId="49" fontId="48" fillId="0" borderId="3">
      <alignment horizontal="left" vertical="center"/>
      <protection locked="0"/>
    </xf>
    <xf numFmtId="4" fontId="47" fillId="0" borderId="3">
      <alignment horizontal="right" vertical="center"/>
      <protection locked="0"/>
    </xf>
    <xf numFmtId="0" fontId="30" fillId="0" borderId="8" applyNumberFormat="0" applyFill="0" applyAlignment="0" applyProtection="0"/>
    <xf numFmtId="0" fontId="27" fillId="23" borderId="0" applyNumberFormat="0" applyBorder="0" applyAlignment="0" applyProtection="0"/>
    <xf numFmtId="0" fontId="14" fillId="0" borderId="0"/>
    <xf numFmtId="0" fontId="14" fillId="0" borderId="0"/>
    <xf numFmtId="0" fontId="14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51" fillId="26" borderId="3">
      <alignment horizontal="right" vertical="center"/>
      <protection locked="0"/>
    </xf>
    <xf numFmtId="4" fontId="51" fillId="27" borderId="3">
      <alignment horizontal="right" vertical="center"/>
      <protection locked="0"/>
    </xf>
    <xf numFmtId="4" fontId="51" fillId="28" borderId="3">
      <alignment horizontal="right" vertical="center"/>
      <protection locked="0"/>
    </xf>
    <xf numFmtId="0" fontId="19" fillId="20" borderId="10" applyNumberFormat="0" applyAlignment="0" applyProtection="0"/>
    <xf numFmtId="49" fontId="36" fillId="0" borderId="3">
      <alignment horizontal="left" vertical="center" wrapText="1"/>
      <protection locked="0"/>
    </xf>
    <xf numFmtId="49" fontId="36" fillId="0" borderId="3">
      <alignment horizontal="left" vertical="center" wrapText="1"/>
      <protection locked="0"/>
    </xf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5" fillId="16" borderId="0" applyNumberFormat="0" applyBorder="0" applyAlignment="0" applyProtection="0"/>
    <xf numFmtId="0" fontId="17" fillId="16" borderId="0" applyNumberFormat="0" applyBorder="0" applyAlignment="0" applyProtection="0"/>
    <xf numFmtId="0" fontId="35" fillId="17" borderId="0" applyNumberFormat="0" applyBorder="0" applyAlignment="0" applyProtection="0"/>
    <xf numFmtId="0" fontId="17" fillId="17" borderId="0" applyNumberFormat="0" applyBorder="0" applyAlignment="0" applyProtection="0"/>
    <xf numFmtId="0" fontId="35" fillId="18" borderId="0" applyNumberFormat="0" applyBorder="0" applyAlignment="0" applyProtection="0"/>
    <xf numFmtId="0" fontId="17" fillId="18" borderId="0" applyNumberFormat="0" applyBorder="0" applyAlignment="0" applyProtection="0"/>
    <xf numFmtId="0" fontId="35" fillId="13" borderId="0" applyNumberFormat="0" applyBorder="0" applyAlignment="0" applyProtection="0"/>
    <xf numFmtId="0" fontId="17" fillId="13" borderId="0" applyNumberFormat="0" applyBorder="0" applyAlignment="0" applyProtection="0"/>
    <xf numFmtId="0" fontId="35" fillId="14" borderId="0" applyNumberFormat="0" applyBorder="0" applyAlignment="0" applyProtection="0"/>
    <xf numFmtId="0" fontId="17" fillId="14" borderId="0" applyNumberFormat="0" applyBorder="0" applyAlignment="0" applyProtection="0"/>
    <xf numFmtId="0" fontId="35" fillId="19" borderId="0" applyNumberFormat="0" applyBorder="0" applyAlignment="0" applyProtection="0"/>
    <xf numFmtId="0" fontId="17" fillId="19" borderId="0" applyNumberFormat="0" applyBorder="0" applyAlignment="0" applyProtection="0"/>
    <xf numFmtId="0" fontId="52" fillId="7" borderId="1" applyNumberFormat="0" applyAlignment="0" applyProtection="0"/>
    <xf numFmtId="0" fontId="18" fillId="7" borderId="1" applyNumberFormat="0" applyAlignment="0" applyProtection="0"/>
    <xf numFmtId="0" fontId="53" fillId="20" borderId="10" applyNumberFormat="0" applyAlignment="0" applyProtection="0"/>
    <xf numFmtId="0" fontId="19" fillId="20" borderId="10" applyNumberFormat="0" applyAlignment="0" applyProtection="0"/>
    <xf numFmtId="0" fontId="54" fillId="20" borderId="1" applyNumberFormat="0" applyAlignment="0" applyProtection="0"/>
    <xf numFmtId="0" fontId="20" fillId="20" borderId="1" applyNumberFormat="0" applyAlignment="0" applyProtection="0"/>
    <xf numFmtId="205" fontId="14" fillId="0" borderId="0" applyFont="0" applyFill="0" applyBorder="0" applyAlignment="0" applyProtection="0"/>
    <xf numFmtId="0" fontId="55" fillId="0" borderId="4" applyNumberFormat="0" applyFill="0" applyAlignment="0" applyProtection="0"/>
    <xf numFmtId="0" fontId="21" fillId="0" borderId="4" applyNumberFormat="0" applyFill="0" applyAlignment="0" applyProtection="0"/>
    <xf numFmtId="0" fontId="56" fillId="0" borderId="5" applyNumberFormat="0" applyFill="0" applyAlignment="0" applyProtection="0"/>
    <xf numFmtId="0" fontId="22" fillId="0" borderId="5" applyNumberFormat="0" applyFill="0" applyAlignment="0" applyProtection="0"/>
    <xf numFmtId="0" fontId="57" fillId="0" borderId="6" applyNumberFormat="0" applyFill="0" applyAlignment="0" applyProtection="0"/>
    <xf numFmtId="0" fontId="23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8" fillId="0" borderId="11" applyNumberFormat="0" applyFill="0" applyAlignment="0" applyProtection="0"/>
    <xf numFmtId="0" fontId="24" fillId="0" borderId="11" applyNumberFormat="0" applyFill="0" applyAlignment="0" applyProtection="0"/>
    <xf numFmtId="0" fontId="59" fillId="21" borderId="2" applyNumberFormat="0" applyAlignment="0" applyProtection="0"/>
    <xf numFmtId="0" fontId="25" fillId="21" borderId="2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3" borderId="0" applyNumberFormat="0" applyBorder="0" applyAlignment="0" applyProtection="0"/>
    <xf numFmtId="0" fontId="27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4" fillId="0" borderId="0"/>
    <xf numFmtId="0" fontId="2" fillId="0" borderId="0"/>
    <xf numFmtId="0" fontId="14" fillId="0" borderId="0"/>
    <xf numFmtId="0" fontId="14" fillId="0" borderId="0" applyNumberFormat="0" applyFont="0" applyFill="0" applyBorder="0" applyAlignment="0" applyProtection="0">
      <alignment vertical="top"/>
    </xf>
    <xf numFmtId="0" fontId="14" fillId="0" borderId="0" applyNumberFormat="0" applyFont="0" applyFill="0" applyBorder="0" applyAlignment="0" applyProtection="0">
      <alignment vertical="top"/>
    </xf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61" fillId="3" borderId="0" applyNumberFormat="0" applyBorder="0" applyAlignment="0" applyProtection="0"/>
    <xf numFmtId="0" fontId="28" fillId="3" borderId="0" applyNumberFormat="0" applyBorder="0" applyAlignment="0" applyProtection="0"/>
    <xf numFmtId="0" fontId="6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3" fillId="25" borderId="9" applyNumberFormat="0" applyFont="0" applyAlignment="0" applyProtection="0"/>
    <xf numFmtId="0" fontId="14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4" fillId="0" borderId="8" applyNumberFormat="0" applyFill="0" applyAlignment="0" applyProtection="0"/>
    <xf numFmtId="0" fontId="30" fillId="0" borderId="8" applyNumberFormat="0" applyFill="0" applyAlignment="0" applyProtection="0"/>
    <xf numFmtId="0" fontId="3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06" fontId="67" fillId="0" borderId="0" applyFont="0" applyFill="0" applyBorder="0" applyAlignment="0" applyProtection="0"/>
    <xf numFmtId="207" fontId="67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68" fillId="4" borderId="0" applyNumberFormat="0" applyBorder="0" applyAlignment="0" applyProtection="0"/>
    <xf numFmtId="0" fontId="32" fillId="4" borderId="0" applyNumberFormat="0" applyBorder="0" applyAlignment="0" applyProtection="0"/>
    <xf numFmtId="209" fontId="69" fillId="22" borderId="12" applyFill="0" applyBorder="0">
      <alignment horizontal="center" vertical="center" wrapText="1"/>
      <protection locked="0"/>
    </xf>
    <xf numFmtId="204" fontId="70" fillId="0" borderId="0">
      <alignment wrapText="1"/>
    </xf>
    <xf numFmtId="204" fontId="37" fillId="0" borderId="0">
      <alignment wrapText="1"/>
    </xf>
  </cellStyleXfs>
  <cellXfs count="625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quotePrefix="1" applyFont="1" applyFill="1" applyBorder="1" applyAlignment="1">
      <alignment horizontal="center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198" fontId="4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 vertical="center"/>
    </xf>
    <xf numFmtId="199" fontId="5" fillId="0" borderId="0" xfId="0" applyNumberFormat="1" applyFont="1" applyFill="1" applyAlignment="1">
      <alignment vertical="center"/>
    </xf>
    <xf numFmtId="0" fontId="5" fillId="0" borderId="3" xfId="237" applyNumberFormat="1" applyFont="1" applyFill="1" applyBorder="1" applyAlignment="1">
      <alignment horizontal="left" vertical="top" wrapText="1"/>
    </xf>
    <xf numFmtId="0" fontId="13" fillId="0" borderId="0" xfId="0" applyFont="1" applyFill="1"/>
    <xf numFmtId="0" fontId="4" fillId="0" borderId="0" xfId="0" quotePrefix="1" applyFont="1" applyFill="1" applyBorder="1" applyAlignment="1">
      <alignment horizontal="center" vertical="center"/>
    </xf>
    <xf numFmtId="198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/>
    <xf numFmtId="198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 shrinkToFit="1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237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245" applyFont="1" applyFill="1" applyBorder="1" applyAlignment="1">
      <alignment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245" applyFont="1" applyFill="1" applyBorder="1" applyAlignment="1">
      <alignment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0" borderId="3" xfId="245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99" fontId="4" fillId="0" borderId="0" xfId="0" applyNumberFormat="1" applyFont="1" applyFill="1" applyBorder="1" applyAlignment="1">
      <alignment horizontal="center" vertical="center" wrapText="1"/>
    </xf>
    <xf numFmtId="19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245" applyFont="1" applyFill="1" applyBorder="1" applyAlignment="1">
      <alignment horizontal="center" vertical="center"/>
    </xf>
    <xf numFmtId="0" fontId="16" fillId="0" borderId="0" xfId="245" applyFont="1" applyFill="1"/>
    <xf numFmtId="0" fontId="5" fillId="0" borderId="0" xfId="245" applyFont="1" applyFill="1" applyBorder="1" applyAlignment="1">
      <alignment vertical="center" wrapText="1"/>
    </xf>
    <xf numFmtId="0" fontId="4" fillId="0" borderId="3" xfId="237" applyFont="1" applyFill="1" applyBorder="1" applyAlignment="1">
      <alignment horizontal="left" vertical="center"/>
    </xf>
    <xf numFmtId="0" fontId="5" fillId="0" borderId="0" xfId="0" applyFont="1" applyFill="1"/>
    <xf numFmtId="0" fontId="11" fillId="0" borderId="3" xfId="0" applyFont="1" applyFill="1" applyBorder="1" applyAlignment="1">
      <alignment horizontal="center" vertical="center" wrapText="1" shrinkToFit="1"/>
    </xf>
    <xf numFmtId="0" fontId="5" fillId="0" borderId="3" xfId="0" quotePrefix="1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quotePrefix="1" applyFont="1" applyFill="1" applyBorder="1" applyAlignment="1">
      <alignment horizontal="center"/>
    </xf>
    <xf numFmtId="0" fontId="5" fillId="0" borderId="0" xfId="245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15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199" fontId="5" fillId="0" borderId="0" xfId="0" quotePrefix="1" applyNumberFormat="1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horizontal="center" vertical="center"/>
    </xf>
    <xf numFmtId="0" fontId="5" fillId="0" borderId="3" xfId="182" applyFont="1" applyFill="1" applyBorder="1" applyAlignment="1">
      <alignment horizontal="left" vertical="center" wrapText="1"/>
      <protection locked="0"/>
    </xf>
    <xf numFmtId="0" fontId="4" fillId="0" borderId="3" xfId="182" applyFont="1" applyFill="1" applyBorder="1" applyAlignment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9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shrinkToFit="1"/>
    </xf>
    <xf numFmtId="3" fontId="5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 shrinkToFi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3" xfId="0" quotePrefix="1" applyNumberFormat="1" applyFont="1" applyFill="1" applyBorder="1" applyAlignment="1">
      <alignment horizontal="left" vertical="center" wrapText="1"/>
    </xf>
    <xf numFmtId="49" fontId="4" fillId="0" borderId="3" xfId="0" quotePrefix="1" applyNumberFormat="1" applyFont="1" applyFill="1" applyBorder="1" applyAlignment="1">
      <alignment horizontal="left" vertical="center" wrapText="1"/>
    </xf>
    <xf numFmtId="199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left" vertical="center" wrapText="1"/>
    </xf>
    <xf numFmtId="0" fontId="71" fillId="0" borderId="0" xfId="0" applyFont="1" applyFill="1"/>
    <xf numFmtId="49" fontId="5" fillId="0" borderId="3" xfId="237" applyNumberFormat="1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3" xfId="0" applyNumberFormat="1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vertical="center" wrapText="1"/>
    </xf>
    <xf numFmtId="199" fontId="4" fillId="0" borderId="0" xfId="0" applyNumberFormat="1" applyFont="1" applyFill="1" applyBorder="1" applyAlignment="1">
      <alignment vertical="center"/>
    </xf>
    <xf numFmtId="199" fontId="5" fillId="0" borderId="0" xfId="0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horizontal="center" vertical="center" wrapText="1"/>
    </xf>
    <xf numFmtId="0" fontId="5" fillId="0" borderId="3" xfId="237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vertical="center" wrapText="1" shrinkToFit="1"/>
    </xf>
    <xf numFmtId="206" fontId="5" fillId="0" borderId="3" xfId="0" applyNumberFormat="1" applyFont="1" applyFill="1" applyBorder="1" applyAlignment="1">
      <alignment horizontal="center" vertical="center" wrapText="1"/>
    </xf>
    <xf numFmtId="212" fontId="5" fillId="0" borderId="3" xfId="0" applyNumberFormat="1" applyFont="1" applyFill="1" applyBorder="1" applyAlignment="1">
      <alignment horizontal="center" vertical="center" wrapText="1"/>
    </xf>
    <xf numFmtId="213" fontId="5" fillId="0" borderId="3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0" fillId="0" borderId="0" xfId="0" applyFill="1"/>
    <xf numFmtId="206" fontId="5" fillId="0" borderId="19" xfId="0" applyNumberFormat="1" applyFont="1" applyFill="1" applyBorder="1" applyAlignment="1">
      <alignment horizontal="center" vertical="center" wrapText="1"/>
    </xf>
    <xf numFmtId="206" fontId="4" fillId="27" borderId="3" xfId="0" applyNumberFormat="1" applyFont="1" applyFill="1" applyBorder="1" applyAlignment="1">
      <alignment horizontal="center" vertical="center" wrapText="1"/>
    </xf>
    <xf numFmtId="206" fontId="4" fillId="0" borderId="3" xfId="0" applyNumberFormat="1" applyFont="1" applyFill="1" applyBorder="1" applyAlignment="1">
      <alignment horizontal="center" vertical="center" wrapText="1"/>
    </xf>
    <xf numFmtId="215" fontId="5" fillId="29" borderId="3" xfId="0" applyNumberFormat="1" applyFont="1" applyFill="1" applyBorder="1" applyAlignment="1">
      <alignment horizontal="center" vertical="center" wrapText="1"/>
    </xf>
    <xf numFmtId="206" fontId="5" fillId="27" borderId="3" xfId="0" applyNumberFormat="1" applyFont="1" applyFill="1" applyBorder="1" applyAlignment="1">
      <alignment horizontal="center" vertical="center" wrapText="1"/>
    </xf>
    <xf numFmtId="206" fontId="5" fillId="0" borderId="20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left"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206" fontId="4" fillId="27" borderId="19" xfId="0" applyNumberFormat="1" applyFont="1" applyFill="1" applyBorder="1" applyAlignment="1">
      <alignment horizontal="center" vertical="center" wrapText="1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left" vertical="center" wrapText="1"/>
      <protection locked="0"/>
    </xf>
    <xf numFmtId="0" fontId="5" fillId="0" borderId="19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206" fontId="4" fillId="0" borderId="19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4" fillId="0" borderId="19" xfId="0" quotePrefix="1" applyFont="1" applyFill="1" applyBorder="1" applyAlignment="1">
      <alignment horizontal="center" vertical="center"/>
    </xf>
    <xf numFmtId="0" fontId="4" fillId="0" borderId="17" xfId="245" applyFont="1" applyFill="1" applyBorder="1" applyAlignment="1">
      <alignment horizontal="left" vertical="center" wrapText="1"/>
    </xf>
    <xf numFmtId="0" fontId="4" fillId="0" borderId="16" xfId="245" applyFont="1" applyFill="1" applyBorder="1" applyAlignment="1">
      <alignment horizontal="left" vertical="center" wrapText="1"/>
    </xf>
    <xf numFmtId="0" fontId="4" fillId="0" borderId="15" xfId="0" quotePrefix="1" applyFont="1" applyFill="1" applyBorder="1" applyAlignment="1">
      <alignment horizontal="center" vertical="center"/>
    </xf>
    <xf numFmtId="0" fontId="5" fillId="0" borderId="15" xfId="0" quotePrefix="1" applyFont="1" applyFill="1" applyBorder="1" applyAlignment="1">
      <alignment horizontal="center" vertical="center"/>
    </xf>
    <xf numFmtId="0" fontId="5" fillId="0" borderId="19" xfId="245" applyFont="1" applyFill="1" applyBorder="1" applyAlignment="1">
      <alignment horizontal="left" vertical="center" wrapText="1"/>
    </xf>
    <xf numFmtId="212" fontId="4" fillId="0" borderId="3" xfId="0" applyNumberFormat="1" applyFont="1" applyFill="1" applyBorder="1" applyAlignment="1">
      <alignment horizontal="center" vertical="center" wrapText="1"/>
    </xf>
    <xf numFmtId="213" fontId="4" fillId="0" borderId="3" xfId="0" applyNumberFormat="1" applyFont="1" applyFill="1" applyBorder="1" applyAlignment="1">
      <alignment horizontal="center" vertical="center" wrapText="1"/>
    </xf>
    <xf numFmtId="0" fontId="5" fillId="0" borderId="20" xfId="245" applyFont="1" applyFill="1" applyBorder="1" applyAlignment="1">
      <alignment horizontal="left" vertical="center" wrapText="1"/>
    </xf>
    <xf numFmtId="0" fontId="5" fillId="0" borderId="2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245" applyFont="1" applyFill="1" applyBorder="1" applyAlignment="1">
      <alignment horizontal="left" vertical="center" wrapText="1"/>
    </xf>
    <xf numFmtId="198" fontId="5" fillId="0" borderId="3" xfId="291" applyNumberFormat="1" applyFont="1" applyFill="1" applyBorder="1" applyAlignment="1">
      <alignment horizontal="right" vertical="center" wrapText="1"/>
    </xf>
    <xf numFmtId="206" fontId="5" fillId="30" borderId="3" xfId="0" applyNumberFormat="1" applyFont="1" applyFill="1" applyBorder="1" applyAlignment="1">
      <alignment horizontal="center" vertical="center" wrapText="1"/>
    </xf>
    <xf numFmtId="198" fontId="4" fillId="0" borderId="3" xfId="291" applyNumberFormat="1" applyFont="1" applyFill="1" applyBorder="1" applyAlignment="1">
      <alignment horizontal="right" vertical="center" wrapText="1"/>
    </xf>
    <xf numFmtId="206" fontId="4" fillId="26" borderId="3" xfId="0" applyNumberFormat="1" applyFont="1" applyFill="1" applyBorder="1" applyAlignment="1">
      <alignment horizontal="center" vertical="center" wrapText="1"/>
    </xf>
    <xf numFmtId="206" fontId="4" fillId="30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206" fontId="5" fillId="0" borderId="0" xfId="0" applyNumberFormat="1" applyFont="1" applyFill="1" applyBorder="1" applyAlignment="1">
      <alignment horizontal="center" vertical="center" wrapText="1"/>
    </xf>
    <xf numFmtId="206" fontId="7" fillId="0" borderId="0" xfId="0" applyNumberFormat="1" applyFont="1" applyFill="1" applyBorder="1" applyAlignment="1">
      <alignment horizontal="center" vertical="center" wrapText="1"/>
    </xf>
    <xf numFmtId="199" fontId="7" fillId="0" borderId="0" xfId="0" applyNumberFormat="1" applyFont="1" applyFill="1" applyBorder="1" applyAlignment="1">
      <alignment horizontal="center" vertical="center" wrapText="1"/>
    </xf>
    <xf numFmtId="199" fontId="5" fillId="0" borderId="19" xfId="0" applyNumberFormat="1" applyFont="1" applyFill="1" applyBorder="1" applyAlignment="1">
      <alignment horizontal="right" vertical="center" wrapText="1"/>
    </xf>
    <xf numFmtId="199" fontId="4" fillId="0" borderId="19" xfId="0" applyNumberFormat="1" applyFont="1" applyFill="1" applyBorder="1" applyAlignment="1">
      <alignment horizontal="right" vertical="center" wrapText="1"/>
    </xf>
    <xf numFmtId="215" fontId="4" fillId="29" borderId="3" xfId="0" applyNumberFormat="1" applyFont="1" applyFill="1" applyBorder="1" applyAlignment="1">
      <alignment horizontal="center" vertical="center" wrapText="1"/>
    </xf>
    <xf numFmtId="206" fontId="5" fillId="30" borderId="19" xfId="0" applyNumberFormat="1" applyFont="1" applyFill="1" applyBorder="1" applyAlignment="1">
      <alignment horizontal="center" vertical="center" wrapText="1"/>
    </xf>
    <xf numFmtId="0" fontId="4" fillId="26" borderId="14" xfId="245" applyFont="1" applyFill="1" applyBorder="1" applyAlignment="1">
      <alignment horizontal="left" vertical="center" wrapText="1"/>
    </xf>
    <xf numFmtId="0" fontId="4" fillId="26" borderId="3" xfId="0" applyFont="1" applyFill="1" applyBorder="1" applyAlignment="1">
      <alignment horizontal="left" vertical="center" wrapText="1"/>
    </xf>
    <xf numFmtId="199" fontId="5" fillId="30" borderId="3" xfId="237" applyNumberFormat="1" applyFont="1" applyFill="1" applyBorder="1" applyAlignment="1">
      <alignment horizontal="center" vertical="center" wrapText="1"/>
    </xf>
    <xf numFmtId="215" fontId="5" fillId="29" borderId="19" xfId="0" applyNumberFormat="1" applyFont="1" applyFill="1" applyBorder="1" applyAlignment="1">
      <alignment horizontal="center" vertical="center" wrapText="1"/>
    </xf>
    <xf numFmtId="215" fontId="5" fillId="29" borderId="15" xfId="0" applyNumberFormat="1" applyFont="1" applyFill="1" applyBorder="1" applyAlignment="1">
      <alignment horizontal="center" vertical="center" wrapText="1"/>
    </xf>
    <xf numFmtId="212" fontId="5" fillId="30" borderId="3" xfId="0" applyNumberFormat="1" applyFont="1" applyFill="1" applyBorder="1" applyAlignment="1">
      <alignment horizontal="center" vertical="center" wrapText="1"/>
    </xf>
    <xf numFmtId="213" fontId="5" fillId="30" borderId="3" xfId="0" applyNumberFormat="1" applyFont="1" applyFill="1" applyBorder="1" applyAlignment="1">
      <alignment horizontal="center" vertical="center" wrapText="1"/>
    </xf>
    <xf numFmtId="212" fontId="4" fillId="30" borderId="3" xfId="0" applyNumberFormat="1" applyFont="1" applyFill="1" applyBorder="1" applyAlignment="1">
      <alignment horizontal="center" vertical="center" wrapText="1"/>
    </xf>
    <xf numFmtId="199" fontId="5" fillId="0" borderId="3" xfId="0" applyNumberFormat="1" applyFont="1" applyFill="1" applyBorder="1" applyAlignment="1">
      <alignment horizontal="right" vertical="center" wrapText="1"/>
    </xf>
    <xf numFmtId="199" fontId="4" fillId="0" borderId="3" xfId="0" applyNumberFormat="1" applyFont="1" applyFill="1" applyBorder="1" applyAlignment="1">
      <alignment horizontal="right" vertical="center" wrapText="1"/>
    </xf>
    <xf numFmtId="199" fontId="5" fillId="30" borderId="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>
      <alignment horizontal="center" vertical="center"/>
    </xf>
    <xf numFmtId="215" fontId="5" fillId="29" borderId="20" xfId="0" applyNumberFormat="1" applyFont="1" applyFill="1" applyBorder="1" applyAlignment="1">
      <alignment horizontal="center" vertical="center" wrapText="1"/>
    </xf>
    <xf numFmtId="215" fontId="5" fillId="22" borderId="3" xfId="0" applyNumberFormat="1" applyFont="1" applyFill="1" applyBorder="1" applyAlignment="1">
      <alignment horizontal="center" vertical="center" wrapText="1"/>
    </xf>
    <xf numFmtId="199" fontId="5" fillId="22" borderId="19" xfId="0" applyNumberFormat="1" applyFont="1" applyFill="1" applyBorder="1" applyAlignment="1">
      <alignment horizontal="right" vertical="center" wrapText="1"/>
    </xf>
    <xf numFmtId="215" fontId="5" fillId="22" borderId="20" xfId="0" applyNumberFormat="1" applyFont="1" applyFill="1" applyBorder="1" applyAlignment="1">
      <alignment horizontal="center" vertical="center" wrapText="1"/>
    </xf>
    <xf numFmtId="199" fontId="5" fillId="22" borderId="20" xfId="0" applyNumberFormat="1" applyFont="1" applyFill="1" applyBorder="1" applyAlignment="1">
      <alignment horizontal="right" vertical="center" wrapText="1"/>
    </xf>
    <xf numFmtId="206" fontId="5" fillId="0" borderId="3" xfId="245" applyNumberFormat="1" applyFont="1" applyFill="1" applyBorder="1" applyAlignment="1">
      <alignment horizontal="center" vertical="center" wrapText="1"/>
    </xf>
    <xf numFmtId="0" fontId="5" fillId="0" borderId="3" xfId="245" applyFont="1" applyFill="1" applyBorder="1" applyAlignment="1">
      <alignment horizontal="right" vertical="center" wrapText="1"/>
    </xf>
    <xf numFmtId="198" fontId="5" fillId="0" borderId="0" xfId="291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5" fillId="27" borderId="3" xfId="245" applyFont="1" applyFill="1" applyBorder="1" applyAlignment="1">
      <alignment horizontal="center" vertical="center" wrapText="1"/>
    </xf>
    <xf numFmtId="206" fontId="72" fillId="0" borderId="3" xfId="0" applyNumberFormat="1" applyFont="1" applyFill="1" applyBorder="1" applyAlignment="1">
      <alignment horizontal="center" vertical="center" wrapText="1"/>
    </xf>
    <xf numFmtId="0" fontId="5" fillId="29" borderId="15" xfId="0" applyFont="1" applyFill="1" applyBorder="1" applyAlignment="1">
      <alignment horizontal="center" vertical="center" wrapText="1"/>
    </xf>
    <xf numFmtId="0" fontId="5" fillId="27" borderId="15" xfId="0" applyFont="1" applyFill="1" applyBorder="1" applyAlignment="1">
      <alignment horizontal="center" vertical="center" wrapText="1"/>
    </xf>
    <xf numFmtId="206" fontId="4" fillId="27" borderId="15" xfId="0" applyNumberFormat="1" applyFont="1" applyFill="1" applyBorder="1" applyAlignment="1">
      <alignment horizontal="center" vertical="center" wrapText="1"/>
    </xf>
    <xf numFmtId="0" fontId="4" fillId="0" borderId="3" xfId="0" quotePrefix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9" xfId="182" applyFont="1" applyFill="1" applyBorder="1" applyAlignment="1">
      <alignment horizontal="left" vertical="center" wrapText="1"/>
      <protection locked="0"/>
    </xf>
    <xf numFmtId="0" fontId="4" fillId="0" borderId="1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206" fontId="4" fillId="0" borderId="14" xfId="0" applyNumberFormat="1" applyFont="1" applyFill="1" applyBorder="1" applyAlignment="1">
      <alignment horizontal="center" vertical="center" wrapText="1"/>
    </xf>
    <xf numFmtId="0" fontId="4" fillId="0" borderId="19" xfId="0" quotePrefix="1" applyNumberFormat="1" applyFont="1" applyFill="1" applyBorder="1" applyAlignment="1">
      <alignment horizontal="center" vertical="center"/>
    </xf>
    <xf numFmtId="199" fontId="4" fillId="0" borderId="3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wrapText="1"/>
    </xf>
    <xf numFmtId="0" fontId="80" fillId="0" borderId="3" xfId="0" applyFont="1" applyFill="1" applyBorder="1" applyAlignment="1" applyProtection="1">
      <alignment horizontal="left" vertical="center" wrapText="1"/>
      <protection locked="0"/>
    </xf>
    <xf numFmtId="206" fontId="5" fillId="31" borderId="3" xfId="0" applyNumberFormat="1" applyFont="1" applyFill="1" applyBorder="1" applyAlignment="1">
      <alignment horizontal="center" vertical="center" wrapText="1"/>
    </xf>
    <xf numFmtId="206" fontId="4" fillId="31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215" fontId="5" fillId="0" borderId="3" xfId="0" applyNumberFormat="1" applyFont="1" applyFill="1" applyBorder="1" applyAlignment="1">
      <alignment horizontal="center" vertical="center" wrapText="1"/>
    </xf>
    <xf numFmtId="216" fontId="5" fillId="0" borderId="3" xfId="0" applyNumberFormat="1" applyFont="1" applyFill="1" applyBorder="1" applyAlignment="1">
      <alignment horizontal="center" vertical="center" wrapText="1"/>
    </xf>
    <xf numFmtId="215" fontId="4" fillId="27" borderId="3" xfId="0" applyNumberFormat="1" applyFont="1" applyFill="1" applyBorder="1" applyAlignment="1">
      <alignment horizontal="center" vertical="center" wrapText="1"/>
    </xf>
    <xf numFmtId="215" fontId="5" fillId="3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75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215" fontId="5" fillId="27" borderId="3" xfId="0" applyNumberFormat="1" applyFont="1" applyFill="1" applyBorder="1" applyAlignment="1">
      <alignment horizontal="center" vertical="center" wrapText="1"/>
    </xf>
    <xf numFmtId="215" fontId="4" fillId="27" borderId="19" xfId="0" applyNumberFormat="1" applyFont="1" applyFill="1" applyBorder="1" applyAlignment="1">
      <alignment horizontal="center" vertical="center" wrapText="1"/>
    </xf>
    <xf numFmtId="219" fontId="4" fillId="27" borderId="3" xfId="0" applyNumberFormat="1" applyFont="1" applyFill="1" applyBorder="1" applyAlignment="1">
      <alignment horizontal="center" vertical="center" wrapText="1"/>
    </xf>
    <xf numFmtId="215" fontId="5" fillId="0" borderId="3" xfId="291" applyNumberFormat="1" applyFont="1" applyFill="1" applyBorder="1" applyAlignment="1">
      <alignment horizontal="right" vertical="center" wrapText="1"/>
    </xf>
    <xf numFmtId="215" fontId="4" fillId="0" borderId="3" xfId="0" applyNumberFormat="1" applyFont="1" applyFill="1" applyBorder="1" applyAlignment="1">
      <alignment horizontal="center" vertical="center" wrapText="1"/>
    </xf>
    <xf numFmtId="215" fontId="4" fillId="0" borderId="19" xfId="0" applyNumberFormat="1" applyFont="1" applyFill="1" applyBorder="1" applyAlignment="1">
      <alignment horizontal="center" vertical="center" wrapText="1"/>
    </xf>
    <xf numFmtId="216" fontId="4" fillId="27" borderId="3" xfId="0" applyNumberFormat="1" applyFont="1" applyFill="1" applyBorder="1" applyAlignment="1">
      <alignment horizontal="center" vertical="center" wrapText="1"/>
    </xf>
    <xf numFmtId="216" fontId="4" fillId="0" borderId="3" xfId="0" applyNumberFormat="1" applyFont="1" applyFill="1" applyBorder="1" applyAlignment="1">
      <alignment horizontal="center" vertical="center" wrapText="1"/>
    </xf>
    <xf numFmtId="216" fontId="5" fillId="30" borderId="3" xfId="0" applyNumberFormat="1" applyFont="1" applyFill="1" applyBorder="1" applyAlignment="1">
      <alignment horizontal="center" vertical="center" wrapText="1"/>
    </xf>
    <xf numFmtId="216" fontId="4" fillId="0" borderId="3" xfId="0" applyNumberFormat="1" applyFont="1" applyFill="1" applyBorder="1" applyAlignment="1">
      <alignment horizontal="left" vertical="center" wrapText="1"/>
    </xf>
    <xf numFmtId="216" fontId="4" fillId="0" borderId="3" xfId="0" quotePrefix="1" applyNumberFormat="1" applyFont="1" applyFill="1" applyBorder="1" applyAlignment="1">
      <alignment horizontal="left" vertical="center" wrapText="1"/>
    </xf>
    <xf numFmtId="216" fontId="5" fillId="0" borderId="3" xfId="0" applyNumberFormat="1" applyFont="1" applyFill="1" applyBorder="1" applyAlignment="1">
      <alignment horizontal="left" vertical="center" wrapText="1"/>
    </xf>
    <xf numFmtId="216" fontId="5" fillId="0" borderId="3" xfId="0" quotePrefix="1" applyNumberFormat="1" applyFont="1" applyFill="1" applyBorder="1" applyAlignment="1">
      <alignment horizontal="left" vertical="center" wrapText="1"/>
    </xf>
    <xf numFmtId="216" fontId="4" fillId="26" borderId="3" xfId="0" applyNumberFormat="1" applyFont="1" applyFill="1" applyBorder="1" applyAlignment="1">
      <alignment horizontal="center" vertical="center" wrapText="1"/>
    </xf>
    <xf numFmtId="216" fontId="4" fillId="29" borderId="3" xfId="0" applyNumberFormat="1" applyFont="1" applyFill="1" applyBorder="1" applyAlignment="1">
      <alignment horizontal="center" vertical="center" wrapText="1"/>
    </xf>
    <xf numFmtId="216" fontId="4" fillId="30" borderId="3" xfId="0" applyNumberFormat="1" applyFont="1" applyFill="1" applyBorder="1" applyAlignment="1">
      <alignment horizontal="center" vertical="center" wrapText="1"/>
    </xf>
    <xf numFmtId="206" fontId="4" fillId="0" borderId="3" xfId="0" quotePrefix="1" applyNumberFormat="1" applyFont="1" applyFill="1" applyBorder="1" applyAlignment="1">
      <alignment horizontal="center" vertical="center"/>
    </xf>
    <xf numFmtId="206" fontId="5" fillId="0" borderId="3" xfId="0" quotePrefix="1" applyNumberFormat="1" applyFont="1" applyFill="1" applyBorder="1" applyAlignment="1">
      <alignment horizontal="center" vertical="center"/>
    </xf>
    <xf numFmtId="206" fontId="5" fillId="0" borderId="3" xfId="0" applyNumberFormat="1" applyFont="1" applyFill="1" applyBorder="1" applyAlignment="1">
      <alignment horizontal="center" vertical="center"/>
    </xf>
    <xf numFmtId="206" fontId="5" fillId="0" borderId="3" xfId="0" applyNumberFormat="1" applyFont="1" applyFill="1" applyBorder="1" applyAlignment="1">
      <alignment horizontal="center"/>
    </xf>
    <xf numFmtId="206" fontId="5" fillId="0" borderId="3" xfId="0" quotePrefix="1" applyNumberFormat="1" applyFont="1" applyFill="1" applyBorder="1" applyAlignment="1">
      <alignment horizontal="center"/>
    </xf>
    <xf numFmtId="206" fontId="4" fillId="0" borderId="3" xfId="0" quotePrefix="1" applyNumberFormat="1" applyFont="1" applyFill="1" applyBorder="1" applyAlignment="1">
      <alignment horizontal="center"/>
    </xf>
    <xf numFmtId="216" fontId="4" fillId="0" borderId="3" xfId="0" applyNumberFormat="1" applyFont="1" applyFill="1" applyBorder="1" applyAlignment="1">
      <alignment horizontal="left" vertical="center"/>
    </xf>
    <xf numFmtId="216" fontId="4" fillId="0" borderId="14" xfId="0" applyNumberFormat="1" applyFont="1" applyFill="1" applyBorder="1" applyAlignment="1">
      <alignment horizontal="left" vertical="center" wrapText="1"/>
    </xf>
    <xf numFmtId="216" fontId="4" fillId="0" borderId="17" xfId="0" applyNumberFormat="1" applyFont="1" applyFill="1" applyBorder="1" applyAlignment="1">
      <alignment horizontal="left" vertical="center" wrapText="1"/>
    </xf>
    <xf numFmtId="216" fontId="4" fillId="0" borderId="16" xfId="0" applyNumberFormat="1" applyFont="1" applyFill="1" applyBorder="1" applyAlignment="1">
      <alignment horizontal="left" vertical="center" wrapText="1"/>
    </xf>
    <xf numFmtId="216" fontId="5" fillId="27" borderId="3" xfId="0" applyNumberFormat="1" applyFont="1" applyFill="1" applyBorder="1" applyAlignment="1">
      <alignment horizontal="center" vertical="center" wrapText="1"/>
    </xf>
    <xf numFmtId="215" fontId="4" fillId="26" borderId="3" xfId="0" applyNumberFormat="1" applyFont="1" applyFill="1" applyBorder="1" applyAlignment="1">
      <alignment horizontal="center" vertical="center" wrapText="1"/>
    </xf>
    <xf numFmtId="49" fontId="5" fillId="0" borderId="3" xfId="0" quotePrefix="1" applyNumberFormat="1" applyFont="1" applyFill="1" applyBorder="1" applyAlignment="1">
      <alignment horizontal="center" vertical="center" wrapText="1"/>
    </xf>
    <xf numFmtId="216" fontId="4" fillId="0" borderId="3" xfId="0" quotePrefix="1" applyNumberFormat="1" applyFont="1" applyFill="1" applyBorder="1" applyAlignment="1">
      <alignment vertical="center"/>
    </xf>
    <xf numFmtId="206" fontId="4" fillId="0" borderId="3" xfId="0" applyNumberFormat="1" applyFont="1" applyFill="1" applyBorder="1" applyAlignment="1">
      <alignment horizontal="center" vertical="center"/>
    </xf>
    <xf numFmtId="215" fontId="4" fillId="30" borderId="3" xfId="0" applyNumberFormat="1" applyFont="1" applyFill="1" applyBorder="1" applyAlignment="1">
      <alignment horizontal="center" vertical="center" wrapText="1"/>
    </xf>
    <xf numFmtId="215" fontId="4" fillId="0" borderId="3" xfId="291" applyNumberFormat="1" applyFont="1" applyFill="1" applyBorder="1" applyAlignment="1">
      <alignment horizontal="right" vertical="center" wrapText="1"/>
    </xf>
    <xf numFmtId="221" fontId="5" fillId="0" borderId="0" xfId="0" applyNumberFormat="1" applyFont="1" applyFill="1" applyAlignment="1">
      <alignment vertical="center"/>
    </xf>
    <xf numFmtId="206" fontId="4" fillId="0" borderId="0" xfId="245" applyNumberFormat="1" applyFont="1" applyFill="1" applyBorder="1" applyAlignment="1">
      <alignment vertical="center"/>
    </xf>
    <xf numFmtId="216" fontId="5" fillId="0" borderId="0" xfId="0" applyNumberFormat="1" applyFont="1" applyFill="1" applyAlignment="1">
      <alignment vertical="center"/>
    </xf>
    <xf numFmtId="198" fontId="5" fillId="0" borderId="0" xfId="0" applyNumberFormat="1" applyFont="1" applyFill="1" applyBorder="1" applyAlignment="1">
      <alignment horizontal="left" vertical="center" wrapText="1" shrinkToFit="1"/>
    </xf>
    <xf numFmtId="206" fontId="5" fillId="0" borderId="0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215" fontId="5" fillId="0" borderId="3" xfId="0" applyNumberFormat="1" applyFont="1" applyFill="1" applyBorder="1" applyAlignment="1">
      <alignment vertical="center" wrapText="1"/>
    </xf>
    <xf numFmtId="215" fontId="4" fillId="0" borderId="19" xfId="0" applyNumberFormat="1" applyFont="1" applyFill="1" applyBorder="1" applyAlignment="1">
      <alignment horizontal="right" vertical="center" wrapText="1"/>
    </xf>
    <xf numFmtId="215" fontId="5" fillId="0" borderId="19" xfId="0" applyNumberFormat="1" applyFont="1" applyFill="1" applyBorder="1" applyAlignment="1">
      <alignment horizontal="center" vertical="center" wrapText="1"/>
    </xf>
    <xf numFmtId="215" fontId="5" fillId="0" borderId="19" xfId="0" applyNumberFormat="1" applyFont="1" applyFill="1" applyBorder="1" applyAlignment="1">
      <alignment horizontal="right" vertical="center" wrapText="1"/>
    </xf>
    <xf numFmtId="215" fontId="4" fillId="0" borderId="17" xfId="0" applyNumberFormat="1" applyFont="1" applyFill="1" applyBorder="1" applyAlignment="1">
      <alignment horizontal="center" vertical="center" wrapText="1"/>
    </xf>
    <xf numFmtId="215" fontId="5" fillId="30" borderId="19" xfId="0" applyNumberFormat="1" applyFont="1" applyFill="1" applyBorder="1" applyAlignment="1">
      <alignment horizontal="center" vertical="center" wrapText="1"/>
    </xf>
    <xf numFmtId="216" fontId="5" fillId="0" borderId="19" xfId="0" applyNumberFormat="1" applyFont="1" applyFill="1" applyBorder="1" applyAlignment="1">
      <alignment horizontal="right" vertical="center" wrapText="1"/>
    </xf>
    <xf numFmtId="216" fontId="4" fillId="0" borderId="19" xfId="0" applyNumberFormat="1" applyFont="1" applyFill="1" applyBorder="1" applyAlignment="1">
      <alignment horizontal="right" vertical="center" wrapText="1"/>
    </xf>
    <xf numFmtId="198" fontId="5" fillId="27" borderId="3" xfId="245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 shrinkToFit="1"/>
    </xf>
    <xf numFmtId="0" fontId="4" fillId="0" borderId="16" xfId="0" applyFont="1" applyFill="1" applyBorder="1" applyAlignment="1">
      <alignment horizontal="left" vertical="center" wrapText="1" shrinkToFit="1"/>
    </xf>
    <xf numFmtId="0" fontId="11" fillId="0" borderId="14" xfId="0" applyNumberFormat="1" applyFont="1" applyFill="1" applyBorder="1" applyAlignment="1">
      <alignment horizontal="center" vertical="center" wrapText="1"/>
    </xf>
    <xf numFmtId="215" fontId="5" fillId="0" borderId="3" xfId="245" applyNumberFormat="1" applyFont="1" applyFill="1" applyBorder="1" applyAlignment="1">
      <alignment horizontal="center" vertical="center" wrapText="1"/>
    </xf>
    <xf numFmtId="206" fontId="5" fillId="0" borderId="19" xfId="0" applyNumberFormat="1" applyFont="1" applyFill="1" applyBorder="1" applyAlignment="1">
      <alignment horizontal="right" vertical="center" wrapText="1"/>
    </xf>
    <xf numFmtId="206" fontId="5" fillId="0" borderId="0" xfId="0" applyNumberFormat="1" applyFont="1" applyFill="1" applyAlignment="1">
      <alignment vertical="center"/>
    </xf>
    <xf numFmtId="206" fontId="13" fillId="0" borderId="0" xfId="0" applyNumberFormat="1" applyFont="1" applyFill="1"/>
    <xf numFmtId="206" fontId="5" fillId="0" borderId="0" xfId="0" applyNumberFormat="1" applyFont="1" applyFill="1" applyBorder="1" applyAlignment="1">
      <alignment horizontal="center" vertical="center"/>
    </xf>
    <xf numFmtId="206" fontId="5" fillId="0" borderId="3" xfId="291" applyNumberFormat="1" applyFont="1" applyFill="1" applyBorder="1" applyAlignment="1">
      <alignment horizontal="right" vertical="center" wrapText="1"/>
    </xf>
    <xf numFmtId="206" fontId="4" fillId="0" borderId="3" xfId="291" applyNumberFormat="1" applyFont="1" applyFill="1" applyBorder="1" applyAlignment="1">
      <alignment horizontal="right" vertical="center" wrapText="1"/>
    </xf>
    <xf numFmtId="215" fontId="4" fillId="0" borderId="0" xfId="0" applyNumberFormat="1" applyFont="1" applyFill="1" applyBorder="1" applyAlignment="1">
      <alignment horizontal="right" vertical="center"/>
    </xf>
    <xf numFmtId="215" fontId="4" fillId="0" borderId="0" xfId="0" applyNumberFormat="1" applyFont="1" applyFill="1" applyBorder="1" applyAlignment="1">
      <alignment horizontal="left" vertical="center"/>
    </xf>
    <xf numFmtId="215" fontId="5" fillId="0" borderId="0" xfId="0" applyNumberFormat="1" applyFont="1" applyFill="1" applyAlignment="1">
      <alignment vertical="center"/>
    </xf>
    <xf numFmtId="215" fontId="5" fillId="0" borderId="0" xfId="0" applyNumberFormat="1" applyFont="1" applyFill="1" applyBorder="1" applyAlignment="1">
      <alignment horizontal="center" vertical="center" wrapText="1"/>
    </xf>
    <xf numFmtId="215" fontId="5" fillId="0" borderId="0" xfId="0" applyNumberFormat="1" applyFont="1" applyFill="1" applyBorder="1" applyAlignment="1">
      <alignment horizontal="left" vertical="center" wrapText="1" shrinkToFit="1"/>
    </xf>
    <xf numFmtId="215" fontId="4" fillId="0" borderId="0" xfId="0" applyNumberFormat="1" applyFont="1" applyFill="1" applyBorder="1" applyAlignment="1">
      <alignment vertical="center"/>
    </xf>
    <xf numFmtId="215" fontId="13" fillId="0" borderId="0" xfId="0" applyNumberFormat="1" applyFont="1" applyFill="1"/>
    <xf numFmtId="215" fontId="5" fillId="0" borderId="0" xfId="0" applyNumberFormat="1" applyFont="1" applyFill="1" applyBorder="1" applyAlignment="1">
      <alignment horizontal="center" vertical="center"/>
    </xf>
    <xf numFmtId="215" fontId="5" fillId="0" borderId="0" xfId="245" applyNumberFormat="1" applyFont="1" applyFill="1" applyBorder="1" applyAlignment="1">
      <alignment horizontal="center" vertical="center"/>
    </xf>
    <xf numFmtId="215" fontId="5" fillId="0" borderId="0" xfId="0" quotePrefix="1" applyNumberFormat="1" applyFont="1" applyFill="1" applyBorder="1" applyAlignment="1">
      <alignment vertical="center" wrapText="1"/>
    </xf>
    <xf numFmtId="215" fontId="5" fillId="0" borderId="0" xfId="0" applyNumberFormat="1" applyFont="1" applyFill="1" applyBorder="1" applyAlignment="1">
      <alignment vertical="center"/>
    </xf>
    <xf numFmtId="206" fontId="4" fillId="0" borderId="0" xfId="0" applyNumberFormat="1" applyFont="1" applyFill="1" applyBorder="1" applyAlignment="1">
      <alignment vertical="center"/>
    </xf>
    <xf numFmtId="215" fontId="5" fillId="0" borderId="0" xfId="0" applyNumberFormat="1" applyFont="1" applyFill="1" applyAlignment="1">
      <alignment vertical="center" wrapText="1" shrinkToFit="1"/>
    </xf>
    <xf numFmtId="215" fontId="4" fillId="0" borderId="0" xfId="0" quotePrefix="1" applyNumberFormat="1" applyFont="1" applyFill="1" applyBorder="1" applyAlignment="1">
      <alignment horizontal="center" vertical="center"/>
    </xf>
    <xf numFmtId="215" fontId="4" fillId="0" borderId="3" xfId="0" applyNumberFormat="1" applyFont="1" applyFill="1" applyBorder="1" applyAlignment="1">
      <alignment horizontal="left" vertical="center"/>
    </xf>
    <xf numFmtId="215" fontId="4" fillId="0" borderId="17" xfId="0" applyNumberFormat="1" applyFont="1" applyFill="1" applyBorder="1" applyAlignment="1">
      <alignment horizontal="left" vertical="center" wrapText="1"/>
    </xf>
    <xf numFmtId="215" fontId="5" fillId="0" borderId="20" xfId="0" applyNumberFormat="1" applyFont="1" applyFill="1" applyBorder="1" applyAlignment="1">
      <alignment horizontal="center" vertical="center" wrapText="1"/>
    </xf>
    <xf numFmtId="215" fontId="5" fillId="0" borderId="20" xfId="0" applyNumberFormat="1" applyFont="1" applyFill="1" applyBorder="1" applyAlignment="1">
      <alignment horizontal="right" vertical="center" wrapText="1"/>
    </xf>
    <xf numFmtId="215" fontId="77" fillId="0" borderId="3" xfId="0" applyNumberFormat="1" applyFont="1" applyFill="1" applyBorder="1" applyAlignment="1">
      <alignment horizontal="center" vertical="center" wrapText="1"/>
    </xf>
    <xf numFmtId="215" fontId="5" fillId="0" borderId="3" xfId="0" applyNumberFormat="1" applyFont="1" applyFill="1" applyBorder="1" applyAlignment="1">
      <alignment horizontal="right" vertical="center" wrapText="1"/>
    </xf>
    <xf numFmtId="219" fontId="4" fillId="0" borderId="3" xfId="0" applyNumberFormat="1" applyFont="1" applyFill="1" applyBorder="1" applyAlignment="1">
      <alignment horizontal="center" vertical="center" wrapText="1"/>
    </xf>
    <xf numFmtId="219" fontId="4" fillId="0" borderId="3" xfId="291" applyNumberFormat="1" applyFont="1" applyFill="1" applyBorder="1" applyAlignment="1">
      <alignment horizontal="right" vertical="center" wrapText="1"/>
    </xf>
    <xf numFmtId="219" fontId="5" fillId="0" borderId="3" xfId="0" applyNumberFormat="1" applyFont="1" applyFill="1" applyBorder="1" applyAlignment="1">
      <alignment horizontal="center" vertical="center" wrapText="1"/>
    </xf>
    <xf numFmtId="219" fontId="5" fillId="0" borderId="3" xfId="0" applyNumberFormat="1" applyFont="1" applyFill="1" applyBorder="1" applyAlignment="1">
      <alignment vertical="center" wrapText="1"/>
    </xf>
    <xf numFmtId="219" fontId="5" fillId="0" borderId="3" xfId="291" applyNumberFormat="1" applyFont="1" applyFill="1" applyBorder="1" applyAlignment="1">
      <alignment horizontal="right" vertical="center" wrapText="1"/>
    </xf>
    <xf numFmtId="219" fontId="5" fillId="30" borderId="3" xfId="0" applyNumberFormat="1" applyFont="1" applyFill="1" applyBorder="1" applyAlignment="1">
      <alignment horizontal="center" vertical="center" wrapText="1"/>
    </xf>
    <xf numFmtId="219" fontId="4" fillId="27" borderId="15" xfId="0" applyNumberFormat="1" applyFont="1" applyFill="1" applyBorder="1" applyAlignment="1">
      <alignment horizontal="center" vertical="center" wrapText="1"/>
    </xf>
    <xf numFmtId="219" fontId="4" fillId="0" borderId="15" xfId="0" applyNumberFormat="1" applyFont="1" applyFill="1" applyBorder="1" applyAlignment="1">
      <alignment horizontal="center" vertical="center" wrapText="1"/>
    </xf>
    <xf numFmtId="219" fontId="4" fillId="0" borderId="15" xfId="291" applyNumberFormat="1" applyFont="1" applyFill="1" applyBorder="1" applyAlignment="1">
      <alignment horizontal="right" vertical="center" wrapText="1"/>
    </xf>
    <xf numFmtId="219" fontId="4" fillId="0" borderId="17" xfId="245" applyNumberFormat="1" applyFont="1" applyFill="1" applyBorder="1" applyAlignment="1">
      <alignment horizontal="left" vertical="center" wrapText="1"/>
    </xf>
    <xf numFmtId="219" fontId="5" fillId="0" borderId="17" xfId="0" applyNumberFormat="1" applyFont="1" applyFill="1" applyBorder="1" applyAlignment="1">
      <alignment horizontal="center" vertical="center" wrapText="1"/>
    </xf>
    <xf numFmtId="219" fontId="5" fillId="0" borderId="16" xfId="291" applyNumberFormat="1" applyFont="1" applyFill="1" applyBorder="1" applyAlignment="1">
      <alignment horizontal="right" vertical="center" wrapText="1"/>
    </xf>
    <xf numFmtId="219" fontId="4" fillId="27" borderId="19" xfId="0" applyNumberFormat="1" applyFont="1" applyFill="1" applyBorder="1" applyAlignment="1">
      <alignment horizontal="center" vertical="center" wrapText="1"/>
    </xf>
    <xf numFmtId="219" fontId="4" fillId="0" borderId="19" xfId="0" applyNumberFormat="1" applyFont="1" applyFill="1" applyBorder="1" applyAlignment="1">
      <alignment horizontal="center" vertical="center" wrapText="1"/>
    </xf>
    <xf numFmtId="219" fontId="4" fillId="0" borderId="19" xfId="291" applyNumberFormat="1" applyFont="1" applyFill="1" applyBorder="1" applyAlignment="1">
      <alignment horizontal="right" vertical="center" wrapText="1"/>
    </xf>
    <xf numFmtId="219" fontId="5" fillId="27" borderId="3" xfId="0" applyNumberFormat="1" applyFont="1" applyFill="1" applyBorder="1" applyAlignment="1">
      <alignment horizontal="center" vertical="center" wrapText="1"/>
    </xf>
    <xf numFmtId="0" fontId="5" fillId="0" borderId="3" xfId="237" applyNumberFormat="1" applyFont="1" applyFill="1" applyBorder="1" applyAlignment="1">
      <alignment vertical="center" wrapText="1"/>
    </xf>
    <xf numFmtId="199" fontId="5" fillId="30" borderId="3" xfId="237" applyNumberFormat="1" applyFont="1" applyFill="1" applyBorder="1" applyAlignment="1">
      <alignment vertical="center" wrapText="1"/>
    </xf>
    <xf numFmtId="0" fontId="5" fillId="0" borderId="3" xfId="0" quotePrefix="1" applyNumberFormat="1" applyFont="1" applyFill="1" applyBorder="1" applyAlignment="1">
      <alignment vertical="center"/>
    </xf>
    <xf numFmtId="206" fontId="5" fillId="0" borderId="3" xfId="0" applyNumberFormat="1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0" xfId="245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76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76" fillId="0" borderId="3" xfId="237" applyFont="1" applyFill="1" applyBorder="1" applyAlignment="1">
      <alignment horizontal="center" vertical="center" wrapText="1"/>
    </xf>
    <xf numFmtId="206" fontId="5" fillId="0" borderId="0" xfId="245" applyNumberFormat="1" applyFont="1" applyFill="1" applyBorder="1" applyAlignment="1">
      <alignment vertical="center"/>
    </xf>
    <xf numFmtId="206" fontId="5" fillId="0" borderId="3" xfId="0" quotePrefix="1" applyNumberFormat="1" applyFont="1" applyFill="1" applyBorder="1" applyAlignment="1">
      <alignment horizontal="left" vertical="center" wrapText="1"/>
    </xf>
    <xf numFmtId="206" fontId="13" fillId="0" borderId="0" xfId="0" applyNumberFormat="1" applyFont="1" applyFill="1" applyAlignment="1"/>
    <xf numFmtId="206" fontId="5" fillId="0" borderId="3" xfId="291" applyNumberFormat="1" applyFont="1" applyFill="1" applyBorder="1" applyAlignment="1">
      <alignment vertical="center" wrapText="1"/>
    </xf>
    <xf numFmtId="206" fontId="5" fillId="0" borderId="3" xfId="0" quotePrefix="1" applyNumberFormat="1" applyFont="1" applyFill="1" applyBorder="1" applyAlignment="1">
      <alignment vertical="center" wrapText="1"/>
    </xf>
    <xf numFmtId="206" fontId="5" fillId="0" borderId="19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245" applyFont="1" applyFill="1" applyBorder="1" applyAlignment="1">
      <alignment horizontal="center" vertical="center" wrapText="1"/>
    </xf>
    <xf numFmtId="212" fontId="6" fillId="0" borderId="3" xfId="0" applyNumberFormat="1" applyFont="1" applyFill="1" applyBorder="1" applyAlignment="1">
      <alignment horizontal="center" vertical="center" wrapText="1"/>
    </xf>
    <xf numFmtId="213" fontId="6" fillId="0" borderId="3" xfId="0" applyNumberFormat="1" applyFont="1" applyFill="1" applyBorder="1" applyAlignment="1">
      <alignment horizontal="center" vertical="center" wrapText="1"/>
    </xf>
    <xf numFmtId="0" fontId="78" fillId="0" borderId="0" xfId="0" applyFont="1" applyFill="1" applyAlignment="1">
      <alignment horizontal="center"/>
    </xf>
    <xf numFmtId="0" fontId="6" fillId="0" borderId="3" xfId="0" quotePrefix="1" applyFont="1" applyFill="1" applyBorder="1" applyAlignment="1">
      <alignment horizontal="center" vertical="center"/>
    </xf>
    <xf numFmtId="206" fontId="6" fillId="0" borderId="3" xfId="0" applyNumberFormat="1" applyFont="1" applyFill="1" applyBorder="1" applyAlignment="1">
      <alignment horizontal="center" vertical="center" wrapText="1"/>
    </xf>
    <xf numFmtId="219" fontId="6" fillId="0" borderId="3" xfId="0" applyNumberFormat="1" applyFont="1" applyFill="1" applyBorder="1" applyAlignment="1">
      <alignment horizontal="center" vertical="center" wrapText="1"/>
    </xf>
    <xf numFmtId="0" fontId="6" fillId="0" borderId="0" xfId="245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215" fontId="5" fillId="0" borderId="19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219" fontId="5" fillId="0" borderId="3" xfId="0" applyNumberFormat="1" applyFont="1" applyFill="1" applyBorder="1" applyAlignment="1">
      <alignment horizontal="right" vertical="center" wrapText="1"/>
    </xf>
    <xf numFmtId="224" fontId="5" fillId="0" borderId="3" xfId="0" applyNumberFormat="1" applyFont="1" applyFill="1" applyBorder="1" applyAlignment="1">
      <alignment horizontal="center" vertical="center" wrapText="1"/>
    </xf>
    <xf numFmtId="0" fontId="4" fillId="29" borderId="3" xfId="0" applyNumberFormat="1" applyFont="1" applyFill="1" applyBorder="1" applyAlignment="1">
      <alignment horizontal="center" vertical="center" wrapText="1"/>
    </xf>
    <xf numFmtId="0" fontId="6" fillId="0" borderId="3" xfId="245" applyFont="1" applyFill="1" applyBorder="1" applyAlignment="1">
      <alignment horizontal="left" vertical="center" wrapText="1"/>
    </xf>
    <xf numFmtId="0" fontId="5" fillId="0" borderId="3" xfId="245" applyFont="1" applyFill="1" applyBorder="1" applyAlignment="1">
      <alignment horizontal="left" vertical="center"/>
    </xf>
    <xf numFmtId="0" fontId="76" fillId="0" borderId="0" xfId="0" applyFont="1" applyFill="1" applyBorder="1" applyAlignment="1">
      <alignment horizontal="center" wrapText="1"/>
    </xf>
    <xf numFmtId="215" fontId="5" fillId="0" borderId="0" xfId="0" applyNumberFormat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215" fontId="5" fillId="0" borderId="0" xfId="0" quotePrefix="1" applyNumberFormat="1" applyFont="1" applyFill="1" applyBorder="1" applyAlignment="1">
      <alignment wrapText="1"/>
    </xf>
    <xf numFmtId="0" fontId="5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4" fillId="0" borderId="29" xfId="237" applyNumberFormat="1" applyFont="1" applyFill="1" applyBorder="1" applyAlignment="1">
      <alignment horizontal="center" vertical="center" wrapText="1"/>
    </xf>
    <xf numFmtId="0" fontId="4" fillId="0" borderId="28" xfId="237" applyNumberFormat="1" applyFont="1" applyFill="1" applyBorder="1" applyAlignment="1">
      <alignment horizontal="center" vertical="center" wrapText="1"/>
    </xf>
    <xf numFmtId="0" fontId="4" fillId="0" borderId="30" xfId="23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99" fontId="5" fillId="0" borderId="0" xfId="0" applyNumberFormat="1" applyFont="1" applyFill="1" applyBorder="1" applyAlignment="1">
      <alignment horizontal="center" vertical="center" wrapText="1"/>
    </xf>
    <xf numFmtId="199" fontId="5" fillId="0" borderId="0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15" fontId="5" fillId="0" borderId="0" xfId="0" applyNumberFormat="1" applyFont="1" applyFill="1" applyAlignment="1">
      <alignment horizontal="center" vertical="center"/>
    </xf>
    <xf numFmtId="199" fontId="5" fillId="0" borderId="0" xfId="0" applyNumberFormat="1" applyFont="1" applyFill="1" applyBorder="1" applyAlignment="1">
      <alignment horizontal="left" wrapText="1"/>
    </xf>
    <xf numFmtId="215" fontId="6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3" xfId="245" applyFont="1" applyFill="1" applyBorder="1" applyAlignment="1">
      <alignment horizontal="center" vertical="center" wrapText="1"/>
    </xf>
    <xf numFmtId="0" fontId="5" fillId="0" borderId="24" xfId="245" applyFont="1" applyFill="1" applyBorder="1" applyAlignment="1">
      <alignment horizontal="center" vertical="center"/>
    </xf>
    <xf numFmtId="0" fontId="5" fillId="0" borderId="0" xfId="245" applyFont="1" applyFill="1" applyBorder="1" applyAlignment="1">
      <alignment horizontal="center" vertical="center"/>
    </xf>
    <xf numFmtId="0" fontId="4" fillId="0" borderId="0" xfId="245" applyFont="1" applyFill="1" applyBorder="1" applyAlignment="1">
      <alignment horizontal="center" vertical="center"/>
    </xf>
    <xf numFmtId="215" fontId="5" fillId="0" borderId="0" xfId="0" applyNumberFormat="1" applyFont="1" applyFill="1" applyBorder="1" applyAlignment="1">
      <alignment horizontal="left" vertical="center"/>
    </xf>
    <xf numFmtId="215" fontId="5" fillId="0" borderId="0" xfId="0" applyNumberFormat="1" applyFont="1" applyFill="1" applyAlignment="1">
      <alignment horizontal="left" vertical="center"/>
    </xf>
    <xf numFmtId="0" fontId="4" fillId="0" borderId="3" xfId="245" applyFont="1" applyFill="1" applyBorder="1" applyAlignment="1">
      <alignment horizontal="left" vertical="center" wrapText="1"/>
    </xf>
    <xf numFmtId="215" fontId="5" fillId="0" borderId="0" xfId="0" applyNumberFormat="1" applyFont="1" applyFill="1" applyBorder="1" applyAlignment="1">
      <alignment horizontal="left" wrapText="1"/>
    </xf>
    <xf numFmtId="215" fontId="6" fillId="0" borderId="0" xfId="0" applyNumberFormat="1" applyFont="1" applyFill="1" applyBorder="1" applyAlignment="1">
      <alignment horizontal="center"/>
    </xf>
    <xf numFmtId="219" fontId="4" fillId="0" borderId="14" xfId="245" applyNumberFormat="1" applyFont="1" applyFill="1" applyBorder="1" applyAlignment="1">
      <alignment horizontal="center" vertical="center" wrapText="1"/>
    </xf>
    <xf numFmtId="219" fontId="4" fillId="0" borderId="17" xfId="245" applyNumberFormat="1" applyFont="1" applyFill="1" applyBorder="1" applyAlignment="1">
      <alignment horizontal="center" vertical="center" wrapText="1"/>
    </xf>
    <xf numFmtId="219" fontId="4" fillId="0" borderId="16" xfId="245" applyNumberFormat="1" applyFont="1" applyFill="1" applyBorder="1" applyAlignment="1">
      <alignment horizontal="center" vertical="center" wrapText="1"/>
    </xf>
    <xf numFmtId="215" fontId="5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215" fontId="5" fillId="0" borderId="0" xfId="0" applyNumberFormat="1" applyFont="1" applyFill="1" applyBorder="1" applyAlignment="1">
      <alignment horizontal="center" vertical="center" wrapText="1"/>
    </xf>
    <xf numFmtId="215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237" applyNumberFormat="1" applyFont="1" applyFill="1" applyBorder="1" applyAlignment="1">
      <alignment horizontal="center" vertical="center" wrapText="1"/>
    </xf>
    <xf numFmtId="0" fontId="5" fillId="0" borderId="15" xfId="237" applyNumberFormat="1" applyFont="1" applyFill="1" applyBorder="1" applyAlignment="1">
      <alignment horizontal="center" vertical="center" wrapText="1"/>
    </xf>
    <xf numFmtId="0" fontId="5" fillId="0" borderId="19" xfId="237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213" fontId="5" fillId="0" borderId="14" xfId="0" applyNumberFormat="1" applyFont="1" applyFill="1" applyBorder="1" applyAlignment="1">
      <alignment vertical="center" wrapText="1"/>
    </xf>
    <xf numFmtId="213" fontId="5" fillId="0" borderId="17" xfId="0" applyNumberFormat="1" applyFont="1" applyFill="1" applyBorder="1" applyAlignment="1">
      <alignment vertical="center" wrapText="1"/>
    </xf>
    <xf numFmtId="213" fontId="5" fillId="0" borderId="16" xfId="0" applyNumberFormat="1" applyFont="1" applyFill="1" applyBorder="1" applyAlignment="1">
      <alignment vertical="center" wrapText="1"/>
    </xf>
    <xf numFmtId="213" fontId="4" fillId="30" borderId="14" xfId="0" applyNumberFormat="1" applyFont="1" applyFill="1" applyBorder="1" applyAlignment="1">
      <alignment vertical="center" wrapText="1"/>
    </xf>
    <xf numFmtId="213" fontId="4" fillId="30" borderId="17" xfId="0" applyNumberFormat="1" applyFont="1" applyFill="1" applyBorder="1" applyAlignment="1">
      <alignment vertical="center" wrapText="1"/>
    </xf>
    <xf numFmtId="213" fontId="4" fillId="30" borderId="16" xfId="0" applyNumberFormat="1" applyFont="1" applyFill="1" applyBorder="1" applyAlignment="1">
      <alignment vertical="center" wrapText="1"/>
    </xf>
    <xf numFmtId="213" fontId="5" fillId="0" borderId="14" xfId="291" applyNumberFormat="1" applyFont="1" applyFill="1" applyBorder="1" applyAlignment="1">
      <alignment vertical="center" wrapText="1"/>
    </xf>
    <xf numFmtId="213" fontId="5" fillId="0" borderId="16" xfId="291" applyNumberFormat="1" applyFont="1" applyFill="1" applyBorder="1" applyAlignment="1">
      <alignment vertical="center" wrapText="1"/>
    </xf>
    <xf numFmtId="213" fontId="4" fillId="0" borderId="14" xfId="291" applyNumberFormat="1" applyFont="1" applyFill="1" applyBorder="1" applyAlignment="1">
      <alignment vertical="center" wrapText="1"/>
    </xf>
    <xf numFmtId="213" fontId="4" fillId="0" borderId="16" xfId="291" applyNumberFormat="1" applyFont="1" applyFill="1" applyBorder="1" applyAlignment="1">
      <alignment vertical="center" wrapText="1"/>
    </xf>
    <xf numFmtId="213" fontId="5" fillId="0" borderId="3" xfId="0" applyNumberFormat="1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49" fontId="5" fillId="0" borderId="14" xfId="0" applyNumberFormat="1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213" fontId="4" fillId="0" borderId="3" xfId="0" applyNumberFormat="1" applyFont="1" applyFill="1" applyBorder="1" applyAlignment="1">
      <alignment vertical="center" wrapText="1"/>
    </xf>
    <xf numFmtId="212" fontId="5" fillId="0" borderId="14" xfId="0" applyNumberFormat="1" applyFont="1" applyFill="1" applyBorder="1" applyAlignment="1">
      <alignment vertical="center" wrapText="1"/>
    </xf>
    <xf numFmtId="212" fontId="5" fillId="0" borderId="17" xfId="0" applyNumberFormat="1" applyFont="1" applyFill="1" applyBorder="1" applyAlignment="1">
      <alignment vertical="center" wrapText="1"/>
    </xf>
    <xf numFmtId="212" fontId="5" fillId="0" borderId="16" xfId="0" applyNumberFormat="1" applyFont="1" applyFill="1" applyBorder="1" applyAlignment="1">
      <alignment vertical="center" wrapText="1"/>
    </xf>
    <xf numFmtId="212" fontId="4" fillId="30" borderId="14" xfId="0" applyNumberFormat="1" applyFont="1" applyFill="1" applyBorder="1" applyAlignment="1">
      <alignment vertical="center" wrapText="1"/>
    </xf>
    <xf numFmtId="212" fontId="4" fillId="30" borderId="17" xfId="0" applyNumberFormat="1" applyFont="1" applyFill="1" applyBorder="1" applyAlignment="1">
      <alignment vertical="center" wrapText="1"/>
    </xf>
    <xf numFmtId="212" fontId="4" fillId="30" borderId="16" xfId="0" applyNumberFormat="1" applyFont="1" applyFill="1" applyBorder="1" applyAlignment="1">
      <alignment vertical="center" wrapText="1"/>
    </xf>
    <xf numFmtId="213" fontId="4" fillId="0" borderId="14" xfId="0" applyNumberFormat="1" applyFont="1" applyFill="1" applyBorder="1" applyAlignment="1">
      <alignment horizontal="center" vertical="center" wrapText="1"/>
    </xf>
    <xf numFmtId="213" fontId="4" fillId="0" borderId="17" xfId="0" applyNumberFormat="1" applyFont="1" applyFill="1" applyBorder="1" applyAlignment="1">
      <alignment horizontal="center" vertical="center" wrapText="1"/>
    </xf>
    <xf numFmtId="213" fontId="4" fillId="0" borderId="16" xfId="0" applyNumberFormat="1" applyFont="1" applyFill="1" applyBorder="1" applyAlignment="1">
      <alignment horizontal="center" vertical="center" wrapText="1"/>
    </xf>
    <xf numFmtId="213" fontId="5" fillId="0" borderId="14" xfId="0" applyNumberFormat="1" applyFont="1" applyFill="1" applyBorder="1" applyAlignment="1">
      <alignment horizontal="center" vertical="center" wrapText="1"/>
    </xf>
    <xf numFmtId="213" fontId="5" fillId="0" borderId="17" xfId="0" applyNumberFormat="1" applyFont="1" applyFill="1" applyBorder="1" applyAlignment="1">
      <alignment horizontal="center" vertical="center" wrapText="1"/>
    </xf>
    <xf numFmtId="213" fontId="5" fillId="0" borderId="16" xfId="0" applyNumberFormat="1" applyFont="1" applyFill="1" applyBorder="1" applyAlignment="1">
      <alignment horizontal="center" vertical="center" wrapText="1"/>
    </xf>
    <xf numFmtId="212" fontId="4" fillId="0" borderId="14" xfId="0" applyNumberFormat="1" applyFont="1" applyFill="1" applyBorder="1" applyAlignment="1">
      <alignment vertical="center" wrapText="1"/>
    </xf>
    <xf numFmtId="212" fontId="4" fillId="0" borderId="17" xfId="0" applyNumberFormat="1" applyFont="1" applyFill="1" applyBorder="1" applyAlignment="1">
      <alignment vertical="center" wrapText="1"/>
    </xf>
    <xf numFmtId="212" fontId="4" fillId="0" borderId="16" xfId="0" applyNumberFormat="1" applyFont="1" applyFill="1" applyBorder="1" applyAlignment="1">
      <alignment vertical="center" wrapText="1"/>
    </xf>
    <xf numFmtId="213" fontId="5" fillId="30" borderId="14" xfId="0" applyNumberFormat="1" applyFont="1" applyFill="1" applyBorder="1" applyAlignment="1">
      <alignment vertical="center" wrapText="1"/>
    </xf>
    <xf numFmtId="213" fontId="5" fillId="30" borderId="17" xfId="0" applyNumberFormat="1" applyFont="1" applyFill="1" applyBorder="1" applyAlignment="1">
      <alignment vertical="center" wrapText="1"/>
    </xf>
    <xf numFmtId="213" fontId="5" fillId="30" borderId="16" xfId="0" applyNumberFormat="1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left" vertical="center" wrapText="1"/>
    </xf>
    <xf numFmtId="207" fontId="5" fillId="0" borderId="14" xfId="291" applyNumberFormat="1" applyFont="1" applyFill="1" applyBorder="1" applyAlignment="1">
      <alignment vertical="center" wrapText="1"/>
    </xf>
    <xf numFmtId="207" fontId="5" fillId="0" borderId="16" xfId="291" applyNumberFormat="1" applyFont="1" applyFill="1" applyBorder="1" applyAlignment="1">
      <alignment vertical="center" wrapText="1"/>
    </xf>
    <xf numFmtId="212" fontId="5" fillId="0" borderId="14" xfId="0" applyNumberFormat="1" applyFont="1" applyFill="1" applyBorder="1" applyAlignment="1">
      <alignment horizontal="center" vertical="center" wrapText="1"/>
    </xf>
    <xf numFmtId="212" fontId="5" fillId="0" borderId="17" xfId="0" applyNumberFormat="1" applyFont="1" applyFill="1" applyBorder="1" applyAlignment="1">
      <alignment horizontal="center" vertical="center" wrapText="1"/>
    </xf>
    <xf numFmtId="212" fontId="5" fillId="0" borderId="16" xfId="0" applyNumberFormat="1" applyFont="1" applyFill="1" applyBorder="1" applyAlignment="1">
      <alignment horizontal="center" vertical="center" wrapText="1"/>
    </xf>
    <xf numFmtId="207" fontId="5" fillId="0" borderId="3" xfId="0" applyNumberFormat="1" applyFont="1" applyFill="1" applyBorder="1" applyAlignment="1">
      <alignment vertical="center" wrapText="1"/>
    </xf>
    <xf numFmtId="212" fontId="5" fillId="0" borderId="3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vertical="center" wrapText="1"/>
    </xf>
    <xf numFmtId="49" fontId="7" fillId="0" borderId="16" xfId="0" applyNumberFormat="1" applyFont="1" applyFill="1" applyBorder="1" applyAlignment="1">
      <alignment vertical="center" wrapText="1"/>
    </xf>
    <xf numFmtId="49" fontId="5" fillId="0" borderId="14" xfId="0" applyNumberFormat="1" applyFont="1" applyFill="1" applyBorder="1" applyAlignment="1">
      <alignment vertical="center" wrapText="1"/>
    </xf>
    <xf numFmtId="49" fontId="5" fillId="0" borderId="16" xfId="0" applyNumberFormat="1" applyFont="1" applyFill="1" applyBorder="1" applyAlignment="1">
      <alignment vertical="center" wrapText="1"/>
    </xf>
    <xf numFmtId="207" fontId="4" fillId="30" borderId="14" xfId="0" applyNumberFormat="1" applyFont="1" applyFill="1" applyBorder="1" applyAlignment="1">
      <alignment vertical="center" wrapText="1"/>
    </xf>
    <xf numFmtId="207" fontId="4" fillId="30" borderId="17" xfId="0" applyNumberFormat="1" applyFont="1" applyFill="1" applyBorder="1" applyAlignment="1">
      <alignment vertical="center" wrapText="1"/>
    </xf>
    <xf numFmtId="207" fontId="4" fillId="30" borderId="16" xfId="0" applyNumberFormat="1" applyFont="1" applyFill="1" applyBorder="1" applyAlignment="1">
      <alignment vertical="center" wrapText="1"/>
    </xf>
    <xf numFmtId="207" fontId="4" fillId="0" borderId="3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215" fontId="5" fillId="0" borderId="17" xfId="0" applyNumberFormat="1" applyFont="1" applyFill="1" applyBorder="1" applyAlignment="1">
      <alignment horizontal="center" vertical="center" wrapText="1"/>
    </xf>
    <xf numFmtId="206" fontId="5" fillId="0" borderId="14" xfId="0" applyNumberFormat="1" applyFont="1" applyFill="1" applyBorder="1" applyAlignment="1">
      <alignment horizontal="center" vertical="center"/>
    </xf>
    <xf numFmtId="206" fontId="5" fillId="0" borderId="17" xfId="0" applyNumberFormat="1" applyFont="1" applyFill="1" applyBorder="1" applyAlignment="1">
      <alignment horizontal="center" vertical="center"/>
    </xf>
    <xf numFmtId="206" fontId="5" fillId="0" borderId="16" xfId="0" applyNumberFormat="1" applyFont="1" applyFill="1" applyBorder="1" applyAlignment="1">
      <alignment horizontal="center" vertical="center"/>
    </xf>
    <xf numFmtId="215" fontId="5" fillId="0" borderId="3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213" fontId="7" fillId="0" borderId="3" xfId="0" applyNumberFormat="1" applyFont="1" applyFill="1" applyBorder="1" applyAlignment="1">
      <alignment vertical="center" wrapText="1"/>
    </xf>
    <xf numFmtId="213" fontId="7" fillId="0" borderId="14" xfId="0" applyNumberFormat="1" applyFont="1" applyFill="1" applyBorder="1" applyAlignment="1">
      <alignment vertical="center" wrapText="1"/>
    </xf>
    <xf numFmtId="213" fontId="7" fillId="0" borderId="17" xfId="0" applyNumberFormat="1" applyFont="1" applyFill="1" applyBorder="1" applyAlignment="1">
      <alignment vertical="center" wrapText="1"/>
    </xf>
    <xf numFmtId="213" fontId="7" fillId="0" borderId="16" xfId="0" applyNumberFormat="1" applyFont="1" applyFill="1" applyBorder="1" applyAlignment="1">
      <alignment vertical="center" wrapText="1"/>
    </xf>
    <xf numFmtId="215" fontId="7" fillId="0" borderId="14" xfId="0" applyNumberFormat="1" applyFont="1" applyFill="1" applyBorder="1" applyAlignment="1">
      <alignment vertical="center" wrapText="1"/>
    </xf>
    <xf numFmtId="215" fontId="7" fillId="0" borderId="17" xfId="0" applyNumberFormat="1" applyFont="1" applyFill="1" applyBorder="1" applyAlignment="1">
      <alignment vertical="center" wrapText="1"/>
    </xf>
    <xf numFmtId="215" fontId="7" fillId="0" borderId="16" xfId="0" applyNumberFormat="1" applyFont="1" applyFill="1" applyBorder="1" applyAlignment="1">
      <alignment vertical="center" wrapText="1"/>
    </xf>
    <xf numFmtId="215" fontId="5" fillId="30" borderId="14" xfId="0" applyNumberFormat="1" applyFont="1" applyFill="1" applyBorder="1" applyAlignment="1">
      <alignment vertical="center" wrapText="1"/>
    </xf>
    <xf numFmtId="215" fontId="5" fillId="30" borderId="17" xfId="0" applyNumberFormat="1" applyFont="1" applyFill="1" applyBorder="1" applyAlignment="1">
      <alignment vertical="center" wrapText="1"/>
    </xf>
    <xf numFmtId="215" fontId="5" fillId="30" borderId="16" xfId="0" applyNumberFormat="1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215" fontId="5" fillId="0" borderId="14" xfId="0" applyNumberFormat="1" applyFont="1" applyFill="1" applyBorder="1" applyAlignment="1">
      <alignment horizontal="center" vertical="center" wrapText="1"/>
    </xf>
    <xf numFmtId="215" fontId="5" fillId="0" borderId="16" xfId="0" applyNumberFormat="1" applyFont="1" applyFill="1" applyBorder="1" applyAlignment="1">
      <alignment horizontal="center" vertical="center" wrapText="1"/>
    </xf>
    <xf numFmtId="215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215" fontId="4" fillId="0" borderId="3" xfId="0" applyNumberFormat="1" applyFont="1" applyFill="1" applyBorder="1" applyAlignment="1">
      <alignment horizontal="center" vertical="center"/>
    </xf>
    <xf numFmtId="215" fontId="5" fillId="0" borderId="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212" fontId="4" fillId="30" borderId="14" xfId="0" applyNumberFormat="1" applyFont="1" applyFill="1" applyBorder="1" applyAlignment="1">
      <alignment horizontal="center" vertical="center" wrapText="1"/>
    </xf>
    <xf numFmtId="212" fontId="4" fillId="30" borderId="16" xfId="0" applyNumberFormat="1" applyFont="1" applyFill="1" applyBorder="1" applyAlignment="1">
      <alignment horizontal="center" vertical="center" wrapText="1"/>
    </xf>
    <xf numFmtId="206" fontId="5" fillId="0" borderId="14" xfId="0" applyNumberFormat="1" applyFont="1" applyFill="1" applyBorder="1" applyAlignment="1">
      <alignment vertical="center" wrapText="1"/>
    </xf>
    <xf numFmtId="206" fontId="5" fillId="0" borderId="16" xfId="0" applyNumberFormat="1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wrapText="1"/>
    </xf>
    <xf numFmtId="212" fontId="5" fillId="30" borderId="14" xfId="0" applyNumberFormat="1" applyFont="1" applyFill="1" applyBorder="1" applyAlignment="1">
      <alignment horizontal="center" vertical="center" wrapText="1"/>
    </xf>
    <xf numFmtId="212" fontId="5" fillId="30" borderId="16" xfId="0" applyNumberFormat="1" applyFont="1" applyFill="1" applyBorder="1" applyAlignment="1">
      <alignment horizontal="center" vertical="center" wrapText="1"/>
    </xf>
    <xf numFmtId="215" fontId="4" fillId="30" borderId="14" xfId="0" applyNumberFormat="1" applyFont="1" applyFill="1" applyBorder="1" applyAlignment="1">
      <alignment horizontal="center" vertical="center" wrapText="1"/>
    </xf>
    <xf numFmtId="215" fontId="4" fillId="30" borderId="1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 shrinkToFit="1"/>
    </xf>
    <xf numFmtId="215" fontId="5" fillId="0" borderId="0" xfId="0" applyNumberFormat="1" applyFont="1" applyFill="1" applyBorder="1" applyAlignment="1">
      <alignment horizontal="justify" vertical="center" wrapText="1" shrinkToFit="1"/>
    </xf>
    <xf numFmtId="215" fontId="5" fillId="0" borderId="17" xfId="0" applyNumberFormat="1" applyFont="1" applyFill="1" applyBorder="1" applyAlignment="1">
      <alignment horizontal="center" vertical="center"/>
    </xf>
    <xf numFmtId="206" fontId="5" fillId="0" borderId="17" xfId="0" applyNumberFormat="1" applyFont="1" applyFill="1" applyBorder="1" applyAlignment="1">
      <alignment horizontal="center" vertical="center" wrapText="1"/>
    </xf>
    <xf numFmtId="213" fontId="7" fillId="0" borderId="14" xfId="291" applyNumberFormat="1" applyFont="1" applyFill="1" applyBorder="1" applyAlignment="1">
      <alignment vertical="center" wrapText="1"/>
    </xf>
    <xf numFmtId="213" fontId="7" fillId="0" borderId="16" xfId="291" applyNumberFormat="1" applyFont="1" applyFill="1" applyBorder="1" applyAlignment="1">
      <alignment vertical="center" wrapText="1"/>
    </xf>
    <xf numFmtId="206" fontId="5" fillId="0" borderId="3" xfId="0" applyNumberFormat="1" applyFont="1" applyFill="1" applyBorder="1" applyAlignment="1">
      <alignment horizontal="left" vertical="center" wrapText="1"/>
    </xf>
    <xf numFmtId="215" fontId="4" fillId="0" borderId="0" xfId="0" applyNumberFormat="1" applyFont="1" applyFill="1" applyBorder="1" applyAlignment="1">
      <alignment vertical="center"/>
    </xf>
    <xf numFmtId="215" fontId="5" fillId="0" borderId="3" xfId="0" applyNumberFormat="1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212" fontId="4" fillId="0" borderId="14" xfId="0" applyNumberFormat="1" applyFont="1" applyFill="1" applyBorder="1" applyAlignment="1">
      <alignment horizontal="center" vertical="center" wrapText="1"/>
    </xf>
    <xf numFmtId="212" fontId="4" fillId="0" borderId="17" xfId="0" applyNumberFormat="1" applyFont="1" applyFill="1" applyBorder="1" applyAlignment="1">
      <alignment horizontal="center" vertical="center" wrapText="1"/>
    </xf>
    <xf numFmtId="212" fontId="4" fillId="0" borderId="16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36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 shrinkToFit="1"/>
    </xf>
    <xf numFmtId="0" fontId="11" fillId="0" borderId="16" xfId="0" applyFont="1" applyFill="1" applyBorder="1" applyAlignment="1">
      <alignment horizontal="center" vertical="center" wrapText="1" shrinkToFit="1"/>
    </xf>
    <xf numFmtId="3" fontId="11" fillId="0" borderId="14" xfId="0" applyNumberFormat="1" applyFont="1" applyFill="1" applyBorder="1" applyAlignment="1">
      <alignment horizontal="center" vertical="center" wrapText="1" shrinkToFit="1"/>
    </xf>
    <xf numFmtId="3" fontId="11" fillId="0" borderId="16" xfId="0" applyNumberFormat="1" applyFont="1" applyFill="1" applyBorder="1" applyAlignment="1">
      <alignment horizontal="center" vertical="center" wrapText="1" shrinkToFi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212" fontId="4" fillId="30" borderId="17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 shrinkToFit="1"/>
    </xf>
    <xf numFmtId="0" fontId="11" fillId="0" borderId="16" xfId="0" applyNumberFormat="1" applyFont="1" applyFill="1" applyBorder="1" applyAlignment="1">
      <alignment horizontal="center" vertical="center" wrapText="1" shrinkToFit="1"/>
    </xf>
    <xf numFmtId="49" fontId="11" fillId="0" borderId="14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left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35" xfId="0" applyFont="1" applyFill="1" applyBorder="1" applyAlignment="1">
      <alignment horizontal="center" vertical="center" wrapText="1" shrinkToFit="1"/>
    </xf>
    <xf numFmtId="0" fontId="5" fillId="0" borderId="33" xfId="0" applyFont="1" applyFill="1" applyBorder="1" applyAlignment="1">
      <alignment horizontal="center" vertical="center" wrapText="1" shrinkToFit="1"/>
    </xf>
    <xf numFmtId="0" fontId="5" fillId="0" borderId="34" xfId="0" applyFont="1" applyFill="1" applyBorder="1" applyAlignment="1">
      <alignment horizontal="center" vertical="center" wrapText="1" shrinkToFit="1"/>
    </xf>
    <xf numFmtId="212" fontId="5" fillId="0" borderId="3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1" fillId="0" borderId="14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212" fontId="4" fillId="3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198" fontId="4" fillId="0" borderId="13" xfId="0" applyNumberFormat="1" applyFont="1" applyFill="1" applyBorder="1" applyAlignment="1">
      <alignment horizontal="center" vertical="center"/>
    </xf>
    <xf numFmtId="2" fontId="5" fillId="0" borderId="15" xfId="0" applyNumberFormat="1" applyFont="1" applyFill="1" applyBorder="1" applyAlignment="1">
      <alignment horizontal="center" vertical="center" wrapText="1"/>
    </xf>
    <xf numFmtId="2" fontId="5" fillId="0" borderId="19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2" fontId="5" fillId="0" borderId="14" xfId="0" applyNumberFormat="1" applyFont="1" applyFill="1" applyBorder="1" applyAlignment="1">
      <alignment horizontal="center" vertical="center" wrapText="1"/>
    </xf>
    <xf numFmtId="2" fontId="5" fillId="0" borderId="17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 wrapText="1" shrinkToFit="1"/>
    </xf>
    <xf numFmtId="0" fontId="4" fillId="0" borderId="17" xfId="0" applyFont="1" applyFill="1" applyBorder="1" applyAlignment="1">
      <alignment horizontal="left" vertical="center" wrapText="1" shrinkToFit="1"/>
    </xf>
    <xf numFmtId="0" fontId="4" fillId="0" borderId="16" xfId="0" applyFont="1" applyFill="1" applyBorder="1" applyAlignment="1">
      <alignment horizontal="left" vertical="center" wrapText="1" shrinkToFit="1"/>
    </xf>
    <xf numFmtId="206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 shrinkToFit="1"/>
    </xf>
    <xf numFmtId="215" fontId="5" fillId="0" borderId="3" xfId="0" applyNumberFormat="1" applyFont="1" applyFill="1" applyBorder="1" applyAlignment="1">
      <alignment horizontal="center" vertical="center" wrapText="1" shrinkToFit="1"/>
    </xf>
    <xf numFmtId="0" fontId="5" fillId="0" borderId="14" xfId="0" applyNumberFormat="1" applyFont="1" applyFill="1" applyBorder="1" applyAlignment="1">
      <alignment horizontal="left" vertical="center" wrapText="1" shrinkToFit="1"/>
    </xf>
    <xf numFmtId="0" fontId="5" fillId="0" borderId="17" xfId="0" applyNumberFormat="1" applyFont="1" applyFill="1" applyBorder="1" applyAlignment="1">
      <alignment horizontal="left" vertical="center" wrapText="1" shrinkToFit="1"/>
    </xf>
    <xf numFmtId="215" fontId="5" fillId="0" borderId="17" xfId="0" applyNumberFormat="1" applyFont="1" applyFill="1" applyBorder="1" applyAlignment="1">
      <alignment horizontal="left" vertical="center" wrapText="1" shrinkToFit="1"/>
    </xf>
    <xf numFmtId="0" fontId="5" fillId="0" borderId="16" xfId="0" applyNumberFormat="1" applyFont="1" applyFill="1" applyBorder="1" applyAlignment="1">
      <alignment horizontal="left" vertical="center" wrapText="1" shrinkToFit="1"/>
    </xf>
    <xf numFmtId="3" fontId="5" fillId="0" borderId="3" xfId="0" applyNumberFormat="1" applyFont="1" applyFill="1" applyBorder="1" applyAlignment="1">
      <alignment horizontal="center" vertical="center" wrapText="1" shrinkToFit="1"/>
    </xf>
    <xf numFmtId="0" fontId="4" fillId="0" borderId="14" xfId="0" applyNumberFormat="1" applyFont="1" applyFill="1" applyBorder="1" applyAlignment="1">
      <alignment horizontal="center" vertical="center" wrapText="1" shrinkToFit="1"/>
    </xf>
    <xf numFmtId="0" fontId="4" fillId="0" borderId="17" xfId="0" applyNumberFormat="1" applyFont="1" applyFill="1" applyBorder="1" applyAlignment="1">
      <alignment horizontal="center" vertical="center" wrapText="1" shrinkToFit="1"/>
    </xf>
    <xf numFmtId="215" fontId="4" fillId="0" borderId="17" xfId="0" applyNumberFormat="1" applyFont="1" applyFill="1" applyBorder="1" applyAlignment="1">
      <alignment horizontal="center" vertical="center" wrapText="1" shrinkToFit="1"/>
    </xf>
    <xf numFmtId="0" fontId="4" fillId="0" borderId="16" xfId="0" applyNumberFormat="1" applyFont="1" applyFill="1" applyBorder="1" applyAlignment="1">
      <alignment horizontal="center" vertical="center" wrapText="1" shrinkToFit="1"/>
    </xf>
    <xf numFmtId="0" fontId="5" fillId="0" borderId="14" xfId="0" applyNumberFormat="1" applyFont="1" applyFill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right" vertical="center"/>
    </xf>
    <xf numFmtId="0" fontId="81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" xfId="291" builtinId="5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externalLink" Target="externalLinks/externalLink3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L500"/>
  <sheetViews>
    <sheetView tabSelected="1" zoomScale="93" zoomScaleNormal="93" workbookViewId="0">
      <selection activeCell="A179" sqref="A179"/>
    </sheetView>
  </sheetViews>
  <sheetFormatPr defaultRowHeight="18.75"/>
  <cols>
    <col min="1" max="1" width="86.140625" style="3" customWidth="1"/>
    <col min="2" max="2" width="17.140625" style="25" customWidth="1"/>
    <col min="3" max="6" width="30.7109375" style="25" customWidth="1"/>
    <col min="7" max="7" width="25.7109375" style="25" customWidth="1"/>
    <col min="8" max="8" width="21.7109375" style="25" customWidth="1"/>
    <col min="9" max="9" width="10" style="3" customWidth="1"/>
    <col min="10" max="10" width="13" style="3" customWidth="1"/>
    <col min="11" max="16384" width="9.140625" style="3"/>
  </cols>
  <sheetData>
    <row r="1" spans="1:12" ht="18.75" customHeight="1">
      <c r="B1" s="22"/>
      <c r="C1" s="22"/>
      <c r="D1" s="22"/>
      <c r="E1" s="3"/>
      <c r="F1" s="384" t="s">
        <v>157</v>
      </c>
      <c r="G1" s="384"/>
      <c r="H1" s="384"/>
      <c r="I1" s="122"/>
      <c r="J1" s="122"/>
      <c r="K1" s="122"/>
      <c r="L1" s="122"/>
    </row>
    <row r="2" spans="1:12" ht="18.75" customHeight="1">
      <c r="A2" s="80"/>
      <c r="E2" s="3"/>
      <c r="F2" s="384" t="s">
        <v>91</v>
      </c>
      <c r="G2" s="384"/>
      <c r="H2" s="384"/>
      <c r="I2" s="122"/>
      <c r="J2" s="122"/>
      <c r="K2" s="122"/>
      <c r="L2" s="122"/>
    </row>
    <row r="3" spans="1:12" ht="18.75" customHeight="1">
      <c r="A3" s="25"/>
      <c r="E3" s="79"/>
      <c r="F3" s="384" t="s">
        <v>170</v>
      </c>
      <c r="G3" s="384"/>
      <c r="H3" s="384"/>
      <c r="I3" s="122"/>
      <c r="J3" s="122"/>
      <c r="K3" s="122"/>
      <c r="L3" s="122"/>
    </row>
    <row r="4" spans="1:12" ht="18.75" customHeight="1">
      <c r="A4" s="25"/>
      <c r="E4" s="79"/>
      <c r="F4" s="384" t="s">
        <v>171</v>
      </c>
      <c r="G4" s="384"/>
      <c r="H4" s="384"/>
      <c r="I4" s="122"/>
      <c r="J4" s="122"/>
      <c r="K4" s="122"/>
      <c r="L4" s="122"/>
    </row>
    <row r="5" spans="1:12" ht="18.75" customHeight="1">
      <c r="A5" s="25"/>
      <c r="E5" s="79"/>
      <c r="F5" s="115" t="s">
        <v>437</v>
      </c>
      <c r="G5" s="79"/>
      <c r="H5" s="79"/>
      <c r="I5" s="122"/>
      <c r="J5" s="122"/>
      <c r="K5" s="122"/>
      <c r="L5" s="122"/>
    </row>
    <row r="6" spans="1:12" ht="18.75" customHeight="1">
      <c r="A6" s="25"/>
      <c r="E6" s="79"/>
      <c r="F6" s="79"/>
      <c r="G6" s="79"/>
      <c r="H6" s="79"/>
      <c r="I6" s="122"/>
      <c r="J6" s="122"/>
      <c r="K6" s="122"/>
      <c r="L6" s="122"/>
    </row>
    <row r="7" spans="1:12" ht="18.75" customHeight="1">
      <c r="A7" s="25"/>
      <c r="E7" s="79"/>
      <c r="F7" s="79"/>
      <c r="G7" s="79"/>
      <c r="H7" s="79"/>
      <c r="I7" s="122"/>
      <c r="J7" s="122"/>
      <c r="K7" s="122"/>
      <c r="L7" s="122"/>
    </row>
    <row r="8" spans="1:12">
      <c r="B8" s="4"/>
      <c r="C8" s="4"/>
      <c r="D8" s="4"/>
      <c r="F8" s="115"/>
    </row>
    <row r="9" spans="1:12" ht="20.100000000000001" customHeight="1">
      <c r="A9" s="76"/>
      <c r="B9" s="358"/>
      <c r="C9" s="358"/>
      <c r="D9" s="358"/>
      <c r="E9" s="358"/>
      <c r="F9" s="77"/>
      <c r="G9" s="42" t="s">
        <v>115</v>
      </c>
      <c r="H9" s="6" t="s">
        <v>419</v>
      </c>
    </row>
    <row r="10" spans="1:12" ht="20.100000000000001" customHeight="1">
      <c r="A10" s="81" t="s">
        <v>14</v>
      </c>
      <c r="B10" s="358" t="s">
        <v>501</v>
      </c>
      <c r="C10" s="358"/>
      <c r="D10" s="358"/>
      <c r="E10" s="358"/>
      <c r="F10" s="83"/>
      <c r="G10" s="15" t="s">
        <v>110</v>
      </c>
      <c r="H10" s="6">
        <v>33992414</v>
      </c>
      <c r="I10" s="375"/>
      <c r="J10" s="371"/>
      <c r="K10" s="371"/>
    </row>
    <row r="11" spans="1:12" ht="20.100000000000001" customHeight="1">
      <c r="A11" s="76" t="s">
        <v>15</v>
      </c>
      <c r="B11" s="358" t="s">
        <v>502</v>
      </c>
      <c r="C11" s="358"/>
      <c r="D11" s="358"/>
      <c r="E11" s="358"/>
      <c r="F11" s="77"/>
      <c r="G11" s="15" t="s">
        <v>109</v>
      </c>
      <c r="H11" s="6">
        <v>150</v>
      </c>
    </row>
    <row r="12" spans="1:12" ht="20.100000000000001" customHeight="1">
      <c r="A12" s="76" t="s">
        <v>20</v>
      </c>
      <c r="B12" s="358" t="s">
        <v>503</v>
      </c>
      <c r="C12" s="358"/>
      <c r="D12" s="358"/>
      <c r="E12" s="358"/>
      <c r="F12" s="77"/>
      <c r="G12" s="15" t="s">
        <v>108</v>
      </c>
      <c r="H12" s="6">
        <v>5610700000</v>
      </c>
    </row>
    <row r="13" spans="1:12" ht="20.100000000000001" customHeight="1">
      <c r="A13" s="204" t="s">
        <v>438</v>
      </c>
      <c r="B13" s="358"/>
      <c r="C13" s="358"/>
      <c r="D13" s="358"/>
      <c r="E13" s="358"/>
      <c r="F13" s="83"/>
      <c r="G13" s="15" t="s">
        <v>9</v>
      </c>
      <c r="H13" s="6"/>
    </row>
    <row r="14" spans="1:12" ht="20.100000000000001" customHeight="1">
      <c r="A14" s="81" t="s">
        <v>17</v>
      </c>
      <c r="B14" s="358" t="s">
        <v>504</v>
      </c>
      <c r="C14" s="358"/>
      <c r="D14" s="358"/>
      <c r="E14" s="358"/>
      <c r="F14" s="83"/>
      <c r="G14" s="15" t="s">
        <v>8</v>
      </c>
      <c r="H14" s="6"/>
    </row>
    <row r="15" spans="1:12" ht="20.100000000000001" customHeight="1">
      <c r="A15" s="81" t="s">
        <v>16</v>
      </c>
      <c r="B15" s="358" t="s">
        <v>505</v>
      </c>
      <c r="C15" s="358"/>
      <c r="D15" s="358"/>
      <c r="E15" s="358"/>
      <c r="F15" s="83"/>
      <c r="G15" s="15" t="s">
        <v>10</v>
      </c>
      <c r="H15" s="6" t="s">
        <v>500</v>
      </c>
    </row>
    <row r="16" spans="1:12" ht="20.100000000000001" customHeight="1">
      <c r="A16" s="204" t="s">
        <v>354</v>
      </c>
      <c r="B16" s="358"/>
      <c r="C16" s="358"/>
      <c r="D16" s="358"/>
      <c r="E16" s="358"/>
      <c r="F16" s="358" t="s">
        <v>134</v>
      </c>
      <c r="G16" s="359"/>
      <c r="H16" s="12"/>
    </row>
    <row r="17" spans="1:8" ht="20.100000000000001" customHeight="1">
      <c r="A17" s="81" t="s">
        <v>21</v>
      </c>
      <c r="B17" s="358" t="s">
        <v>506</v>
      </c>
      <c r="C17" s="358"/>
      <c r="D17" s="358"/>
      <c r="E17" s="358"/>
      <c r="F17" s="358" t="s">
        <v>135</v>
      </c>
      <c r="G17" s="376"/>
      <c r="H17" s="12"/>
    </row>
    <row r="18" spans="1:8" ht="20.100000000000001" customHeight="1">
      <c r="A18" s="81" t="s">
        <v>90</v>
      </c>
      <c r="B18" s="358">
        <v>497.5</v>
      </c>
      <c r="C18" s="358"/>
      <c r="D18" s="358"/>
      <c r="E18" s="358"/>
      <c r="F18" s="82"/>
      <c r="G18" s="82"/>
      <c r="H18" s="82"/>
    </row>
    <row r="19" spans="1:8" ht="20.100000000000001" customHeight="1">
      <c r="A19" s="76" t="s">
        <v>11</v>
      </c>
      <c r="B19" s="358" t="s">
        <v>507</v>
      </c>
      <c r="C19" s="358"/>
      <c r="D19" s="358"/>
      <c r="E19" s="358"/>
      <c r="F19" s="78"/>
      <c r="G19" s="78"/>
      <c r="H19" s="78"/>
    </row>
    <row r="20" spans="1:8" ht="20.100000000000001" customHeight="1">
      <c r="A20" s="81" t="s">
        <v>12</v>
      </c>
      <c r="B20" s="358" t="s">
        <v>508</v>
      </c>
      <c r="C20" s="358"/>
      <c r="D20" s="358"/>
      <c r="E20" s="358"/>
      <c r="F20" s="82"/>
      <c r="G20" s="82"/>
      <c r="H20" s="82"/>
    </row>
    <row r="21" spans="1:8" ht="20.100000000000001" customHeight="1">
      <c r="A21" s="76" t="s">
        <v>13</v>
      </c>
      <c r="B21" s="358" t="s">
        <v>509</v>
      </c>
      <c r="C21" s="358"/>
      <c r="D21" s="358"/>
      <c r="E21" s="358"/>
      <c r="F21" s="78"/>
      <c r="G21" s="78"/>
      <c r="H21" s="78"/>
    </row>
    <row r="22" spans="1:8" ht="19.5" customHeight="1">
      <c r="A22" s="79"/>
      <c r="B22" s="3"/>
      <c r="C22" s="3"/>
      <c r="D22" s="3"/>
      <c r="E22" s="3"/>
      <c r="F22" s="253"/>
      <c r="G22" s="3"/>
      <c r="H22" s="3"/>
    </row>
    <row r="23" spans="1:8" ht="19.5" customHeight="1">
      <c r="A23" s="363" t="s">
        <v>158</v>
      </c>
      <c r="B23" s="363"/>
      <c r="C23" s="363"/>
      <c r="D23" s="363"/>
      <c r="E23" s="363"/>
      <c r="F23" s="363"/>
      <c r="G23" s="363"/>
      <c r="H23" s="363"/>
    </row>
    <row r="24" spans="1:8">
      <c r="A24" s="363" t="s">
        <v>420</v>
      </c>
      <c r="B24" s="363"/>
      <c r="C24" s="363"/>
      <c r="D24" s="363"/>
      <c r="E24" s="363"/>
      <c r="F24" s="363"/>
      <c r="G24" s="363"/>
      <c r="H24" s="363"/>
    </row>
    <row r="25" spans="1:8">
      <c r="A25" s="363" t="s">
        <v>527</v>
      </c>
      <c r="B25" s="363"/>
      <c r="C25" s="363"/>
      <c r="D25" s="363"/>
      <c r="E25" s="363"/>
      <c r="F25" s="363"/>
      <c r="G25" s="363"/>
      <c r="H25" s="363"/>
    </row>
    <row r="26" spans="1:8">
      <c r="A26" s="371" t="s">
        <v>454</v>
      </c>
      <c r="B26" s="371"/>
      <c r="C26" s="371"/>
      <c r="D26" s="371"/>
      <c r="E26" s="371"/>
      <c r="F26" s="371"/>
      <c r="G26" s="371"/>
      <c r="H26" s="371"/>
    </row>
    <row r="27" spans="1:8" ht="9" customHeight="1">
      <c r="A27" s="321"/>
      <c r="B27" s="13"/>
      <c r="C27" s="13"/>
      <c r="D27" s="13"/>
      <c r="E27" s="13"/>
      <c r="F27" s="13"/>
      <c r="G27" s="13"/>
      <c r="H27" s="13"/>
    </row>
    <row r="28" spans="1:8">
      <c r="A28" s="13" t="s">
        <v>68</v>
      </c>
      <c r="B28" s="13"/>
      <c r="C28" s="13"/>
      <c r="D28" s="13"/>
      <c r="E28" s="13"/>
      <c r="F28" s="13"/>
      <c r="G28" s="13"/>
      <c r="H28" s="13"/>
    </row>
    <row r="29" spans="1:8" ht="12" customHeight="1">
      <c r="B29" s="27"/>
      <c r="C29" s="27"/>
      <c r="D29" s="27"/>
      <c r="E29" s="27"/>
      <c r="F29" s="27"/>
      <c r="G29" s="27"/>
      <c r="H29" s="27"/>
    </row>
    <row r="30" spans="1:8" ht="43.5" customHeight="1">
      <c r="A30" s="383" t="s">
        <v>189</v>
      </c>
      <c r="B30" s="373" t="s">
        <v>18</v>
      </c>
      <c r="C30" s="373" t="s">
        <v>155</v>
      </c>
      <c r="D30" s="373"/>
      <c r="E30" s="372" t="s">
        <v>455</v>
      </c>
      <c r="F30" s="372"/>
      <c r="G30" s="372"/>
      <c r="H30" s="372"/>
    </row>
    <row r="31" spans="1:8" ht="44.25" customHeight="1">
      <c r="A31" s="383"/>
      <c r="B31" s="373"/>
      <c r="C31" s="7" t="s">
        <v>176</v>
      </c>
      <c r="D31" s="7" t="s">
        <v>177</v>
      </c>
      <c r="E31" s="191" t="s">
        <v>178</v>
      </c>
      <c r="F31" s="192" t="s">
        <v>166</v>
      </c>
      <c r="G31" s="74" t="s">
        <v>184</v>
      </c>
      <c r="H31" s="74" t="s">
        <v>185</v>
      </c>
    </row>
    <row r="32" spans="1:8" ht="19.5" thickBot="1">
      <c r="A32" s="6">
        <v>1</v>
      </c>
      <c r="B32" s="7">
        <v>2</v>
      </c>
      <c r="C32" s="6">
        <v>3</v>
      </c>
      <c r="D32" s="7">
        <v>4</v>
      </c>
      <c r="E32" s="6">
        <v>5</v>
      </c>
      <c r="F32" s="7">
        <v>6</v>
      </c>
      <c r="G32" s="6">
        <v>7</v>
      </c>
      <c r="H32" s="7">
        <v>8</v>
      </c>
    </row>
    <row r="33" spans="1:9" s="5" customFormat="1" ht="19.5" thickBot="1">
      <c r="A33" s="355" t="s">
        <v>83</v>
      </c>
      <c r="B33" s="356"/>
      <c r="C33" s="356"/>
      <c r="D33" s="356"/>
      <c r="E33" s="356"/>
      <c r="F33" s="356"/>
      <c r="G33" s="356"/>
      <c r="H33" s="357"/>
    </row>
    <row r="34" spans="1:9" s="5" customFormat="1" ht="20.100000000000001" customHeight="1">
      <c r="A34" s="196" t="s">
        <v>141</v>
      </c>
      <c r="B34" s="197">
        <v>1000</v>
      </c>
      <c r="C34" s="139">
        <f>'I. Фін результат'!C7</f>
        <v>0</v>
      </c>
      <c r="D34" s="221">
        <f>'I. Фін результат'!D7</f>
        <v>25910.068759999998</v>
      </c>
      <c r="E34" s="221">
        <f>'I. Фін результат'!E7</f>
        <v>7937.9</v>
      </c>
      <c r="F34" s="221">
        <f>'I. Фін результат'!F7</f>
        <v>13307.168759999999</v>
      </c>
      <c r="G34" s="221">
        <f>F34-E34</f>
        <v>5369.268759999999</v>
      </c>
      <c r="H34" s="256">
        <f>(F34/E34)*100</f>
        <v>167.64092215825343</v>
      </c>
    </row>
    <row r="35" spans="1:9" s="5" customFormat="1" ht="20.100000000000001" customHeight="1">
      <c r="A35" s="88" t="s">
        <v>126</v>
      </c>
      <c r="B35" s="7">
        <v>1010</v>
      </c>
      <c r="C35" s="123" t="e">
        <f>'I. Фін результат'!C8</f>
        <v>#VALUE!</v>
      </c>
      <c r="D35" s="257">
        <f>'I. Фін результат'!D8</f>
        <v>-50898.9965906</v>
      </c>
      <c r="E35" s="257">
        <f>'I. Фін результат'!E8</f>
        <v>-16603.55</v>
      </c>
      <c r="F35" s="257">
        <f>'I. Фін результат'!F8</f>
        <v>-27660.231279999996</v>
      </c>
      <c r="G35" s="257">
        <f>F35-E35</f>
        <v>-11056.681279999997</v>
      </c>
      <c r="H35" s="258">
        <f>(F35/E35)*100</f>
        <v>166.59227261639828</v>
      </c>
    </row>
    <row r="36" spans="1:9" s="5" customFormat="1" ht="20.100000000000001" customHeight="1">
      <c r="A36" s="89" t="s">
        <v>179</v>
      </c>
      <c r="B36" s="195">
        <v>1020</v>
      </c>
      <c r="C36" s="124" t="e">
        <f>SUM(C34:C35)</f>
        <v>#VALUE!</v>
      </c>
      <c r="D36" s="211">
        <f>SUM(D34:D35)</f>
        <v>-24988.927830600001</v>
      </c>
      <c r="E36" s="211">
        <f>SUM(E34:E35)</f>
        <v>-8665.65</v>
      </c>
      <c r="F36" s="211">
        <f>SUM(F34:F35)</f>
        <v>-14353.062519999998</v>
      </c>
      <c r="G36" s="221">
        <f>F36-E36</f>
        <v>-5687.412519999998</v>
      </c>
      <c r="H36" s="256">
        <f>(F36/E36)*100</f>
        <v>165.63168971744759</v>
      </c>
    </row>
    <row r="37" spans="1:9" s="5" customFormat="1" ht="20.100000000000001" customHeight="1">
      <c r="A37" s="88" t="s">
        <v>151</v>
      </c>
      <c r="B37" s="9">
        <v>1030</v>
      </c>
      <c r="C37" s="123">
        <f>'I. Фін результат'!C23</f>
        <v>0</v>
      </c>
      <c r="D37" s="257">
        <f>'I. Фін результат'!D23</f>
        <v>-2218.6296394000001</v>
      </c>
      <c r="E37" s="257">
        <f>'I. Фін результат'!E23</f>
        <v>-859.75</v>
      </c>
      <c r="F37" s="257">
        <f>'I. Фін результат'!F23</f>
        <v>-1127.5999999999999</v>
      </c>
      <c r="G37" s="257">
        <f>F37-E37</f>
        <v>-267.84999999999991</v>
      </c>
      <c r="H37" s="258">
        <f>(F37/E37)*100</f>
        <v>131.15440535039255</v>
      </c>
    </row>
    <row r="38" spans="1:9" s="5" customFormat="1" ht="20.100000000000001" customHeight="1">
      <c r="A38" s="8" t="s">
        <v>92</v>
      </c>
      <c r="B38" s="9">
        <v>1031</v>
      </c>
      <c r="C38" s="123" t="str">
        <f>'I. Фін результат'!C24</f>
        <v>(    )</v>
      </c>
      <c r="D38" s="257" t="str">
        <f>'I. Фін результат'!D24</f>
        <v>(    )</v>
      </c>
      <c r="E38" s="257" t="str">
        <f>'I. Фін результат'!E24</f>
        <v>(    )</v>
      </c>
      <c r="F38" s="257" t="str">
        <f>'I. Фін результат'!F24</f>
        <v>(    )</v>
      </c>
      <c r="G38" s="257" t="e">
        <f t="shared" ref="G38:G71" si="0">F38-E38</f>
        <v>#VALUE!</v>
      </c>
      <c r="H38" s="258" t="e">
        <f t="shared" ref="H38:H74" si="1">(F38/E38)*100</f>
        <v>#VALUE!</v>
      </c>
    </row>
    <row r="39" spans="1:9" s="5" customFormat="1" ht="20.100000000000001" customHeight="1">
      <c r="A39" s="8" t="s">
        <v>143</v>
      </c>
      <c r="B39" s="9">
        <v>1032</v>
      </c>
      <c r="C39" s="123" t="str">
        <f>'I. Фін результат'!C25</f>
        <v>(    )</v>
      </c>
      <c r="D39" s="257" t="str">
        <f>'I. Фін результат'!D25</f>
        <v>(    )</v>
      </c>
      <c r="E39" s="257" t="str">
        <f>'I. Фін результат'!E25</f>
        <v>(    )</v>
      </c>
      <c r="F39" s="257" t="str">
        <f>'I. Фін результат'!F25</f>
        <v>(    )</v>
      </c>
      <c r="G39" s="257" t="e">
        <f t="shared" si="0"/>
        <v>#VALUE!</v>
      </c>
      <c r="H39" s="258" t="e">
        <f t="shared" si="1"/>
        <v>#VALUE!</v>
      </c>
    </row>
    <row r="40" spans="1:9" s="5" customFormat="1" ht="20.100000000000001" customHeight="1">
      <c r="A40" s="8" t="s">
        <v>54</v>
      </c>
      <c r="B40" s="9">
        <v>1033</v>
      </c>
      <c r="C40" s="123" t="str">
        <f>'I. Фін результат'!C26</f>
        <v>(    )</v>
      </c>
      <c r="D40" s="257" t="str">
        <f>'I. Фін результат'!D26</f>
        <v>(    )</v>
      </c>
      <c r="E40" s="257" t="str">
        <f>'I. Фін результат'!E26</f>
        <v>(    )</v>
      </c>
      <c r="F40" s="257" t="str">
        <f>'I. Фін результат'!F26</f>
        <v>(    )</v>
      </c>
      <c r="G40" s="257" t="e">
        <f t="shared" si="0"/>
        <v>#VALUE!</v>
      </c>
      <c r="H40" s="258" t="e">
        <f t="shared" si="1"/>
        <v>#VALUE!</v>
      </c>
    </row>
    <row r="41" spans="1:9" s="5" customFormat="1" ht="20.100000000000001" customHeight="1">
      <c r="A41" s="8" t="s">
        <v>22</v>
      </c>
      <c r="B41" s="9">
        <v>1034</v>
      </c>
      <c r="C41" s="123" t="str">
        <f>'I. Фін результат'!C27</f>
        <v>(    )</v>
      </c>
      <c r="D41" s="257">
        <f>SUM(D42:D46)</f>
        <v>25321.247780000005</v>
      </c>
      <c r="E41" s="257" t="str">
        <f>'I. Фін результат'!E27</f>
        <v>(    )</v>
      </c>
      <c r="F41" s="257"/>
      <c r="G41" s="257" t="e">
        <f t="shared" si="0"/>
        <v>#VALUE!</v>
      </c>
      <c r="H41" s="258" t="e">
        <f t="shared" si="1"/>
        <v>#VALUE!</v>
      </c>
    </row>
    <row r="42" spans="1:9" s="5" customFormat="1" ht="20.100000000000001" customHeight="1">
      <c r="A42" s="8" t="s">
        <v>23</v>
      </c>
      <c r="B42" s="9">
        <v>1035</v>
      </c>
      <c r="C42" s="123" t="str">
        <f>'I. Фін результат'!C28</f>
        <v>(    )</v>
      </c>
      <c r="D42" s="257" t="str">
        <f>'I. Фін результат'!D28</f>
        <v>(    )</v>
      </c>
      <c r="E42" s="257" t="str">
        <f>'I. Фін результат'!E28</f>
        <v>(    )</v>
      </c>
      <c r="F42" s="257" t="str">
        <f>'I. Фін результат'!F28</f>
        <v>(    )</v>
      </c>
      <c r="G42" s="257" t="e">
        <f t="shared" si="0"/>
        <v>#VALUE!</v>
      </c>
      <c r="H42" s="258" t="e">
        <f t="shared" si="1"/>
        <v>#VALUE!</v>
      </c>
    </row>
    <row r="43" spans="1:9" s="5" customFormat="1" ht="20.100000000000001" customHeight="1">
      <c r="A43" s="88" t="s">
        <v>116</v>
      </c>
      <c r="B43" s="7">
        <v>1060</v>
      </c>
      <c r="C43" s="123">
        <f>'I. Фін результат'!C46</f>
        <v>0</v>
      </c>
      <c r="D43" s="123">
        <f>'I. Фін результат'!D46</f>
        <v>0</v>
      </c>
      <c r="E43" s="123">
        <f>'I. Фін результат'!E46</f>
        <v>0</v>
      </c>
      <c r="F43" s="123">
        <f>'I. Фін результат'!F46</f>
        <v>0</v>
      </c>
      <c r="G43" s="123">
        <f>'I. Фін результат'!G46</f>
        <v>0</v>
      </c>
      <c r="H43" s="123" t="e">
        <f>'I. Фін результат'!H46</f>
        <v>#DIV/0!</v>
      </c>
    </row>
    <row r="44" spans="1:9" s="5" customFormat="1" ht="20.100000000000001" customHeight="1">
      <c r="A44" s="8" t="s">
        <v>225</v>
      </c>
      <c r="B44" s="9">
        <v>1070</v>
      </c>
      <c r="C44" s="123">
        <f>'I. Фін результат'!C54</f>
        <v>0</v>
      </c>
      <c r="D44" s="257">
        <f>'I. Фін результат'!D54</f>
        <v>26263.457930000004</v>
      </c>
      <c r="E44" s="257">
        <f>'I. Фін результат'!E54</f>
        <v>9711.9</v>
      </c>
      <c r="F44" s="257">
        <f>'I. Фін результат'!F54</f>
        <v>8322.3379300000015</v>
      </c>
      <c r="G44" s="257">
        <f>F44-E44</f>
        <v>-1389.5620699999981</v>
      </c>
      <c r="H44" s="258">
        <f>(F44/E44)*100</f>
        <v>85.692170738990328</v>
      </c>
    </row>
    <row r="45" spans="1:9" s="5" customFormat="1" ht="20.100000000000001" customHeight="1">
      <c r="A45" s="8" t="s">
        <v>148</v>
      </c>
      <c r="B45" s="9">
        <v>1071</v>
      </c>
      <c r="C45" s="123">
        <f>'I. Фін результат'!C55</f>
        <v>0</v>
      </c>
      <c r="D45" s="123">
        <f>'I. Фін результат'!D55</f>
        <v>0</v>
      </c>
      <c r="E45" s="123">
        <f>'I. Фін результат'!E55</f>
        <v>0</v>
      </c>
      <c r="F45" s="123">
        <f>'I. Фін результат'!F55</f>
        <v>0</v>
      </c>
      <c r="G45" s="123">
        <f t="shared" si="0"/>
        <v>0</v>
      </c>
      <c r="H45" s="269" t="e">
        <f t="shared" si="1"/>
        <v>#DIV/0!</v>
      </c>
      <c r="I45" s="286"/>
    </row>
    <row r="46" spans="1:9" s="5" customFormat="1" ht="20.100000000000001" customHeight="1">
      <c r="A46" s="93" t="s">
        <v>226</v>
      </c>
      <c r="B46" s="9">
        <v>1080</v>
      </c>
      <c r="C46" s="123">
        <f>'I. Фін результат'!C67</f>
        <v>0</v>
      </c>
      <c r="D46" s="257">
        <f>'I. Фін результат'!D67</f>
        <v>-942.21015</v>
      </c>
      <c r="E46" s="257">
        <f>'I. Фін результат'!E67</f>
        <v>-186.5</v>
      </c>
      <c r="F46" s="257">
        <f>'I. Фін результат'!F67</f>
        <v>-556</v>
      </c>
      <c r="G46" s="257">
        <f>F46-E46</f>
        <v>-369.5</v>
      </c>
      <c r="H46" s="258">
        <f>(F46/E46)*100</f>
        <v>298.12332439678289</v>
      </c>
    </row>
    <row r="47" spans="1:9" s="5" customFormat="1" ht="20.100000000000001" customHeight="1">
      <c r="A47" s="8" t="s">
        <v>148</v>
      </c>
      <c r="B47" s="9">
        <v>1081</v>
      </c>
      <c r="C47" s="123" t="str">
        <f>'I. Фін результат'!C69</f>
        <v>(    )</v>
      </c>
      <c r="D47" s="257" t="str">
        <f>'I. Фін результат'!D69</f>
        <v>(    )</v>
      </c>
      <c r="E47" s="257" t="str">
        <f>'I. Фін результат'!E69</f>
        <v>(    )</v>
      </c>
      <c r="F47" s="257" t="str">
        <f>'I. Фін результат'!F69</f>
        <v>(    )</v>
      </c>
      <c r="G47" s="257" t="e">
        <f t="shared" si="0"/>
        <v>#VALUE!</v>
      </c>
      <c r="H47" s="258" t="e">
        <f t="shared" si="1"/>
        <v>#VALUE!</v>
      </c>
    </row>
    <row r="48" spans="1:9" s="5" customFormat="1" ht="20.100000000000001" customHeight="1">
      <c r="A48" s="8" t="s">
        <v>521</v>
      </c>
      <c r="B48" s="9">
        <v>1082</v>
      </c>
      <c r="C48" s="123" t="str">
        <f>'I. Фін результат'!C70</f>
        <v>(    )</v>
      </c>
      <c r="D48" s="257" t="str">
        <f>'I. Фін результат'!D70</f>
        <v>(    )</v>
      </c>
      <c r="E48" s="257" t="str">
        <f>'I. Фін результат'!E70</f>
        <v>(    )</v>
      </c>
      <c r="F48" s="257" t="str">
        <f>'I. Фін результат'!F70</f>
        <v>(    )</v>
      </c>
      <c r="G48" s="257" t="e">
        <f t="shared" si="0"/>
        <v>#VALUE!</v>
      </c>
      <c r="H48" s="258" t="e">
        <f t="shared" si="1"/>
        <v>#VALUE!</v>
      </c>
    </row>
    <row r="49" spans="1:8" s="5" customFormat="1" ht="20.100000000000001" customHeight="1">
      <c r="A49" s="10" t="s">
        <v>4</v>
      </c>
      <c r="B49" s="195">
        <v>1100</v>
      </c>
      <c r="C49" s="124" t="e">
        <f>SUM(C36,C37,C43,C44,C46)</f>
        <v>#VALUE!</v>
      </c>
      <c r="D49" s="211">
        <f>SUM(D36,D37,D43,D44,D46)</f>
        <v>-1886.3096899999955</v>
      </c>
      <c r="E49" s="211">
        <f>SUM(E36,E37,E43,E44,E46)</f>
        <v>0</v>
      </c>
      <c r="F49" s="211">
        <f>SUM(F36,F37,F43,F44,F46)</f>
        <v>-7714.3245899999965</v>
      </c>
      <c r="G49" s="221">
        <f>F49-E49</f>
        <v>-7714.3245899999965</v>
      </c>
      <c r="H49" s="256" t="e">
        <f>(F49/E49)*100</f>
        <v>#DIV/0!</v>
      </c>
    </row>
    <row r="50" spans="1:8" s="5" customFormat="1" ht="20.100000000000001" customHeight="1">
      <c r="A50" s="90" t="s">
        <v>117</v>
      </c>
      <c r="B50" s="195">
        <v>1310</v>
      </c>
      <c r="C50" s="125" t="e">
        <f>'I. Фін результат'!C105</f>
        <v>#REF!</v>
      </c>
      <c r="D50" s="220" t="e">
        <f>'I. Фін результат'!D105</f>
        <v>#VALUE!</v>
      </c>
      <c r="E50" s="220" t="e">
        <f>'I. Фін результат'!E105</f>
        <v>#VALUE!</v>
      </c>
      <c r="F50" s="220" t="e">
        <f>'I. Фін результат'!F105</f>
        <v>#VALUE!</v>
      </c>
      <c r="G50" s="221" t="e">
        <f t="shared" si="0"/>
        <v>#VALUE!</v>
      </c>
      <c r="H50" s="256" t="e">
        <f t="shared" si="1"/>
        <v>#VALUE!</v>
      </c>
    </row>
    <row r="51" spans="1:8" s="5" customFormat="1">
      <c r="A51" s="90" t="s">
        <v>152</v>
      </c>
      <c r="B51" s="195">
        <v>5010</v>
      </c>
      <c r="C51" s="165" t="e">
        <f>(C50/C34)*100</f>
        <v>#REF!</v>
      </c>
      <c r="D51" s="165" t="e">
        <f>(D50/D34)*100</f>
        <v>#VALUE!</v>
      </c>
      <c r="E51" s="165" t="e">
        <f>(E50/E34)*100</f>
        <v>#VALUE!</v>
      </c>
      <c r="F51" s="165" t="e">
        <f>(F50/F34)*100</f>
        <v>#VALUE!</v>
      </c>
      <c r="G51" s="221" t="e">
        <f t="shared" si="0"/>
        <v>#VALUE!</v>
      </c>
      <c r="H51" s="256" t="e">
        <f t="shared" si="1"/>
        <v>#VALUE!</v>
      </c>
    </row>
    <row r="52" spans="1:8" s="5" customFormat="1" ht="20.100000000000001" customHeight="1">
      <c r="A52" s="8" t="s">
        <v>227</v>
      </c>
      <c r="B52" s="9">
        <v>1110</v>
      </c>
      <c r="C52" s="123">
        <f>'I. Фін результат'!C77</f>
        <v>0</v>
      </c>
      <c r="D52" s="123">
        <f>'I. Фін результат'!D77</f>
        <v>0</v>
      </c>
      <c r="E52" s="257">
        <f>'I. Фін результат'!E77</f>
        <v>0</v>
      </c>
      <c r="F52" s="257">
        <f>'I. Фін результат'!F77</f>
        <v>0</v>
      </c>
      <c r="G52" s="257">
        <f t="shared" si="0"/>
        <v>0</v>
      </c>
      <c r="H52" s="258" t="e">
        <f t="shared" si="1"/>
        <v>#DIV/0!</v>
      </c>
    </row>
    <row r="53" spans="1:8" s="5" customFormat="1">
      <c r="A53" s="8" t="s">
        <v>228</v>
      </c>
      <c r="B53" s="9">
        <v>1120</v>
      </c>
      <c r="C53" s="123" t="str">
        <f>'I. Фін результат'!C78</f>
        <v>(    )</v>
      </c>
      <c r="D53" s="123" t="str">
        <f>'I. Фін результат'!D78</f>
        <v>(    )</v>
      </c>
      <c r="E53" s="257" t="str">
        <f>'I. Фін результат'!E78</f>
        <v>(    )</v>
      </c>
      <c r="F53" s="257" t="str">
        <f>'I. Фін результат'!F78</f>
        <v>(    )</v>
      </c>
      <c r="G53" s="257" t="e">
        <f t="shared" si="0"/>
        <v>#VALUE!</v>
      </c>
      <c r="H53" s="258" t="e">
        <f t="shared" si="1"/>
        <v>#VALUE!</v>
      </c>
    </row>
    <row r="54" spans="1:8" s="5" customFormat="1" ht="20.100000000000001" customHeight="1">
      <c r="A54" s="8" t="s">
        <v>229</v>
      </c>
      <c r="B54" s="9">
        <v>1130</v>
      </c>
      <c r="C54" s="123">
        <f>'I. Фін результат'!C79</f>
        <v>0</v>
      </c>
      <c r="D54" s="123">
        <f>'I. Фін результат'!D79</f>
        <v>0</v>
      </c>
      <c r="E54" s="257">
        <f>'I. Фін результат'!E79</f>
        <v>0</v>
      </c>
      <c r="F54" s="257">
        <f>'I. Фін результат'!F79</f>
        <v>0</v>
      </c>
      <c r="G54" s="257">
        <f t="shared" si="0"/>
        <v>0</v>
      </c>
      <c r="H54" s="258" t="e">
        <f t="shared" si="1"/>
        <v>#DIV/0!</v>
      </c>
    </row>
    <row r="55" spans="1:8" s="5" customFormat="1" ht="20.100000000000001" customHeight="1">
      <c r="A55" s="8" t="s">
        <v>230</v>
      </c>
      <c r="B55" s="9">
        <v>1140</v>
      </c>
      <c r="C55" s="123" t="str">
        <f>'I. Фін результат'!C80</f>
        <v>(    )</v>
      </c>
      <c r="D55" s="123" t="str">
        <f>'I. Фін результат'!D80</f>
        <v>(    )</v>
      </c>
      <c r="E55" s="257" t="str">
        <f>'I. Фін результат'!E80</f>
        <v>(    )</v>
      </c>
      <c r="F55" s="257" t="str">
        <f>'I. Фін результат'!F80</f>
        <v>(    )</v>
      </c>
      <c r="G55" s="257" t="e">
        <f t="shared" si="0"/>
        <v>#VALUE!</v>
      </c>
      <c r="H55" s="258" t="e">
        <f t="shared" si="1"/>
        <v>#VALUE!</v>
      </c>
    </row>
    <row r="56" spans="1:8" s="5" customFormat="1" ht="20.100000000000001" customHeight="1">
      <c r="A56" s="8" t="s">
        <v>246</v>
      </c>
      <c r="B56" s="9">
        <v>1150</v>
      </c>
      <c r="C56" s="123">
        <f>'I. Фін результат'!C81</f>
        <v>0</v>
      </c>
      <c r="D56" s="123">
        <f>'I. Фін результат'!D81</f>
        <v>0</v>
      </c>
      <c r="E56" s="257">
        <f>'I. Фін результат'!E81</f>
        <v>0</v>
      </c>
      <c r="F56" s="257">
        <f>'I. Фін результат'!F81</f>
        <v>0</v>
      </c>
      <c r="G56" s="257">
        <f t="shared" si="0"/>
        <v>0</v>
      </c>
      <c r="H56" s="258" t="e">
        <f t="shared" si="1"/>
        <v>#DIV/0!</v>
      </c>
    </row>
    <row r="57" spans="1:8" s="5" customFormat="1" ht="20.100000000000001" customHeight="1">
      <c r="A57" s="8" t="s">
        <v>148</v>
      </c>
      <c r="B57" s="9">
        <v>1151</v>
      </c>
      <c r="C57" s="123">
        <f>'I. Фін результат'!C82</f>
        <v>0</v>
      </c>
      <c r="D57" s="123">
        <f>'I. Фін результат'!D82</f>
        <v>0</v>
      </c>
      <c r="E57" s="257">
        <f>'I. Фін результат'!E82</f>
        <v>0</v>
      </c>
      <c r="F57" s="257">
        <f>'I. Фін результат'!F82</f>
        <v>0</v>
      </c>
      <c r="G57" s="257">
        <f t="shared" si="0"/>
        <v>0</v>
      </c>
      <c r="H57" s="258" t="e">
        <f t="shared" si="1"/>
        <v>#DIV/0!</v>
      </c>
    </row>
    <row r="58" spans="1:8" s="5" customFormat="1" ht="20.100000000000001" customHeight="1">
      <c r="A58" s="8" t="s">
        <v>248</v>
      </c>
      <c r="B58" s="9">
        <v>1160</v>
      </c>
      <c r="C58" s="123">
        <f>'I. Фін результат'!C84</f>
        <v>0</v>
      </c>
      <c r="D58" s="123">
        <f>'I. Фін результат'!D84</f>
        <v>0</v>
      </c>
      <c r="E58" s="257">
        <f>'I. Фін результат'!E84</f>
        <v>0</v>
      </c>
      <c r="F58" s="257">
        <f>'I. Фін результат'!F84</f>
        <v>0</v>
      </c>
      <c r="G58" s="257">
        <f t="shared" si="0"/>
        <v>0</v>
      </c>
      <c r="H58" s="258" t="e">
        <f t="shared" si="1"/>
        <v>#DIV/0!</v>
      </c>
    </row>
    <row r="59" spans="1:8" s="5" customFormat="1" ht="20.100000000000001" customHeight="1">
      <c r="A59" s="8" t="s">
        <v>148</v>
      </c>
      <c r="B59" s="9">
        <v>1161</v>
      </c>
      <c r="C59" s="123" t="str">
        <f>'I. Фін результат'!C85</f>
        <v>(    )</v>
      </c>
      <c r="D59" s="123" t="str">
        <f>'I. Фін результат'!D85</f>
        <v>(    )</v>
      </c>
      <c r="E59" s="257" t="str">
        <f>'I. Фін результат'!E85</f>
        <v>(    )</v>
      </c>
      <c r="F59" s="257" t="str">
        <f>'I. Фін результат'!F85</f>
        <v>(    )</v>
      </c>
      <c r="G59" s="257" t="e">
        <f t="shared" si="0"/>
        <v>#VALUE!</v>
      </c>
      <c r="H59" s="258" t="e">
        <f t="shared" si="1"/>
        <v>#VALUE!</v>
      </c>
    </row>
    <row r="60" spans="1:8" s="5" customFormat="1" ht="20.100000000000001" customHeight="1">
      <c r="A60" s="90" t="s">
        <v>82</v>
      </c>
      <c r="B60" s="198">
        <v>1170</v>
      </c>
      <c r="C60" s="124" t="e">
        <f>SUM(C49,C52:C56,C58)</f>
        <v>#VALUE!</v>
      </c>
      <c r="D60" s="211">
        <f>SUM(D49,D52:D56,D58)</f>
        <v>-1886.3096899999955</v>
      </c>
      <c r="E60" s="211">
        <f>SUM(E49,E52:E56,E58)</f>
        <v>0</v>
      </c>
      <c r="F60" s="211">
        <f>SUM(F49,F52:F56,F58)</f>
        <v>-7714.3245899999965</v>
      </c>
      <c r="G60" s="221">
        <f>F60-E60</f>
        <v>-7714.3245899999965</v>
      </c>
      <c r="H60" s="256" t="e">
        <f>(F60/E60)*100</f>
        <v>#DIV/0!</v>
      </c>
    </row>
    <row r="61" spans="1:8" s="5" customFormat="1" ht="20.100000000000001" customHeight="1">
      <c r="A61" s="8" t="s">
        <v>239</v>
      </c>
      <c r="B61" s="7">
        <v>1180</v>
      </c>
      <c r="C61" s="123" t="str">
        <f>'I. Фін результат'!C88</f>
        <v>(    )</v>
      </c>
      <c r="D61" s="257" t="str">
        <f>'I. Фін результат'!D88</f>
        <v>(    )</v>
      </c>
      <c r="E61" s="257" t="str">
        <f>'I. Фін результат'!E88</f>
        <v>(    )</v>
      </c>
      <c r="F61" s="257" t="str">
        <f>'I. Фін результат'!F88</f>
        <v>(    )</v>
      </c>
      <c r="G61" s="257" t="e">
        <f t="shared" si="0"/>
        <v>#VALUE!</v>
      </c>
      <c r="H61" s="258" t="e">
        <f t="shared" si="1"/>
        <v>#VALUE!</v>
      </c>
    </row>
    <row r="62" spans="1:8" s="5" customFormat="1" ht="20.100000000000001" customHeight="1">
      <c r="A62" s="8" t="s">
        <v>240</v>
      </c>
      <c r="B62" s="7">
        <v>1181</v>
      </c>
      <c r="C62" s="123" t="str">
        <f>'I. Фін результат'!C89</f>
        <v>(    )</v>
      </c>
      <c r="D62" s="257" t="str">
        <f>'I. Фін результат'!D89</f>
        <v>(    )</v>
      </c>
      <c r="E62" s="257" t="str">
        <f>'I. Фін результат'!E89</f>
        <v>(    )</v>
      </c>
      <c r="F62" s="257" t="str">
        <f>'I. Фін результат'!F89</f>
        <v>(    )</v>
      </c>
      <c r="G62" s="257" t="e">
        <f t="shared" si="0"/>
        <v>#VALUE!</v>
      </c>
      <c r="H62" s="258" t="e">
        <f t="shared" si="1"/>
        <v>#VALUE!</v>
      </c>
    </row>
    <row r="63" spans="1:8" s="5" customFormat="1" ht="20.100000000000001" customHeight="1">
      <c r="A63" s="8" t="s">
        <v>241</v>
      </c>
      <c r="B63" s="9">
        <v>1190</v>
      </c>
      <c r="C63" s="123" t="str">
        <f>'I. Фін результат'!C90</f>
        <v>(    )</v>
      </c>
      <c r="D63" s="257" t="str">
        <f>'I. Фін результат'!D90</f>
        <v>(    )</v>
      </c>
      <c r="E63" s="257" t="str">
        <f>'I. Фін результат'!E90</f>
        <v>(    )</v>
      </c>
      <c r="F63" s="257" t="str">
        <f>'I. Фін результат'!F90</f>
        <v>(    )</v>
      </c>
      <c r="G63" s="257" t="e">
        <f t="shared" si="0"/>
        <v>#VALUE!</v>
      </c>
      <c r="H63" s="258" t="e">
        <f t="shared" si="1"/>
        <v>#VALUE!</v>
      </c>
    </row>
    <row r="64" spans="1:8" s="5" customFormat="1" ht="20.100000000000001" customHeight="1">
      <c r="A64" s="8" t="s">
        <v>242</v>
      </c>
      <c r="B64" s="6">
        <v>1191</v>
      </c>
      <c r="C64" s="123" t="str">
        <f>'I. Фін результат'!C91</f>
        <v>(    )</v>
      </c>
      <c r="D64" s="257" t="str">
        <f>'I. Фін результат'!D91</f>
        <v>(    )</v>
      </c>
      <c r="E64" s="257" t="str">
        <f>'I. Фін результат'!E91</f>
        <v>(    )</v>
      </c>
      <c r="F64" s="257" t="str">
        <f>'I. Фін результат'!F91</f>
        <v>(    )</v>
      </c>
      <c r="G64" s="257" t="e">
        <f t="shared" si="0"/>
        <v>#VALUE!</v>
      </c>
      <c r="H64" s="258" t="e">
        <f t="shared" si="1"/>
        <v>#VALUE!</v>
      </c>
    </row>
    <row r="65" spans="1:11" s="5" customFormat="1" ht="20.100000000000001" customHeight="1">
      <c r="A65" s="10" t="s">
        <v>269</v>
      </c>
      <c r="B65" s="11">
        <v>1200</v>
      </c>
      <c r="C65" s="124" t="e">
        <f>SUM(C60:C64)</f>
        <v>#VALUE!</v>
      </c>
      <c r="D65" s="211">
        <f>SUM(D60:D64)</f>
        <v>-1886.3096899999955</v>
      </c>
      <c r="E65" s="211">
        <f>SUM(E60:E64)</f>
        <v>0</v>
      </c>
      <c r="F65" s="211">
        <f>SUM(F60:F64)</f>
        <v>-7714.3245899999965</v>
      </c>
      <c r="G65" s="221">
        <f>F65-E65</f>
        <v>-7714.3245899999965</v>
      </c>
      <c r="H65" s="256" t="e">
        <f>(F65/E65)*100</f>
        <v>#DIV/0!</v>
      </c>
    </row>
    <row r="66" spans="1:11" s="5" customFormat="1" ht="20.100000000000001" customHeight="1">
      <c r="A66" s="8" t="s">
        <v>381</v>
      </c>
      <c r="B66" s="6">
        <v>1201</v>
      </c>
      <c r="C66" s="123">
        <f>'I. Фін результат'!C93</f>
        <v>0</v>
      </c>
      <c r="D66" s="257">
        <f>'I. Фін результат'!D93</f>
        <v>0</v>
      </c>
      <c r="E66" s="257">
        <f>'I. Фін результат'!E93</f>
        <v>0</v>
      </c>
      <c r="F66" s="257">
        <f>'I. Фін результат'!F93</f>
        <v>0</v>
      </c>
      <c r="G66" s="257">
        <f t="shared" si="0"/>
        <v>0</v>
      </c>
      <c r="H66" s="258" t="e">
        <f t="shared" si="1"/>
        <v>#DIV/0!</v>
      </c>
    </row>
    <row r="67" spans="1:11" s="5" customFormat="1" ht="20.100000000000001" customHeight="1">
      <c r="A67" s="8" t="s">
        <v>382</v>
      </c>
      <c r="B67" s="6">
        <v>1202</v>
      </c>
      <c r="C67" s="123" t="str">
        <f>'I. Фін результат'!C94</f>
        <v>(    )</v>
      </c>
      <c r="D67" s="257" t="str">
        <f>'I. Фін результат'!D94</f>
        <v>(    )</v>
      </c>
      <c r="E67" s="257" t="str">
        <f>'I. Фін результат'!E94</f>
        <v>(    )</v>
      </c>
      <c r="F67" s="257" t="str">
        <f>'I. Фін результат'!F94</f>
        <v>(    )</v>
      </c>
      <c r="G67" s="257" t="e">
        <f t="shared" si="0"/>
        <v>#VALUE!</v>
      </c>
      <c r="H67" s="258" t="e">
        <f t="shared" si="1"/>
        <v>#VALUE!</v>
      </c>
    </row>
    <row r="68" spans="1:11" s="5" customFormat="1" ht="20.100000000000001" customHeight="1">
      <c r="A68" s="10" t="s">
        <v>19</v>
      </c>
      <c r="B68" s="9">
        <v>1210</v>
      </c>
      <c r="C68" s="157">
        <f>SUM(C34,C44,C52,C54,C56,C62,C63)</f>
        <v>0</v>
      </c>
      <c r="D68" s="243">
        <f>SUM(D34,D44,D52,D54,D56,D62,D63)</f>
        <v>52173.526689999999</v>
      </c>
      <c r="E68" s="243">
        <f>SUM(E34,E44,E52,E54,E56,E62,E63)</f>
        <v>17649.8</v>
      </c>
      <c r="F68" s="243">
        <f>SUM(F34,F44,F52,F54,F56,F62,F63)</f>
        <v>21629.506690000002</v>
      </c>
      <c r="G68" s="257">
        <f>F68-E68</f>
        <v>3979.7066900000027</v>
      </c>
      <c r="H68" s="258">
        <f>(F68/E68)*100</f>
        <v>122.54816876111911</v>
      </c>
    </row>
    <row r="69" spans="1:11" s="5" customFormat="1" ht="20.100000000000001" customHeight="1">
      <c r="A69" s="10" t="s">
        <v>100</v>
      </c>
      <c r="B69" s="9">
        <v>1220</v>
      </c>
      <c r="C69" s="157" t="e">
        <f>SUM(C35,C37,C43,C46,C53,C55,C58,C61,C64)</f>
        <v>#VALUE!</v>
      </c>
      <c r="D69" s="243">
        <f>SUM(D35,D37,D43,D46,D53,D55,D58,D61,D64)</f>
        <v>-54059.836380000001</v>
      </c>
      <c r="E69" s="243">
        <f>SUM(E35,E37,E43,E46,E53,E55,E58,E61,E64)</f>
        <v>-17649.8</v>
      </c>
      <c r="F69" s="243">
        <f>SUM(F35,F37,F43,F46,F53,F55,F58,F61,F64)</f>
        <v>-29343.831279999995</v>
      </c>
      <c r="G69" s="257">
        <f>F69-E69</f>
        <v>-11694.031279999996</v>
      </c>
      <c r="H69" s="258">
        <f>(F69/E69)*100</f>
        <v>166.25588550578473</v>
      </c>
    </row>
    <row r="70" spans="1:11" s="5" customFormat="1" ht="20.100000000000001" customHeight="1">
      <c r="A70" s="8" t="s">
        <v>175</v>
      </c>
      <c r="B70" s="9">
        <v>1230</v>
      </c>
      <c r="C70" s="123">
        <f>'I. Фін результат'!C97</f>
        <v>0</v>
      </c>
      <c r="D70" s="257">
        <f>'I. Фін результат'!D97</f>
        <v>0</v>
      </c>
      <c r="E70" s="257">
        <f>'I. Фін результат'!E97</f>
        <v>0</v>
      </c>
      <c r="F70" s="257">
        <f>'I. Фін результат'!F97</f>
        <v>0</v>
      </c>
      <c r="G70" s="257">
        <f t="shared" si="0"/>
        <v>0</v>
      </c>
      <c r="H70" s="258" t="e">
        <f t="shared" si="1"/>
        <v>#DIV/0!</v>
      </c>
    </row>
    <row r="71" spans="1:11" s="5" customFormat="1" ht="20.100000000000001" customHeight="1">
      <c r="A71" s="10" t="s">
        <v>154</v>
      </c>
      <c r="B71" s="11"/>
      <c r="C71" s="199"/>
      <c r="D71" s="259"/>
      <c r="E71" s="259"/>
      <c r="F71" s="259"/>
      <c r="G71" s="221">
        <f t="shared" si="0"/>
        <v>0</v>
      </c>
      <c r="H71" s="256" t="e">
        <f t="shared" si="1"/>
        <v>#DIV/0!</v>
      </c>
    </row>
    <row r="72" spans="1:11" s="5" customFormat="1" ht="20.100000000000001" customHeight="1">
      <c r="A72" s="8" t="s">
        <v>187</v>
      </c>
      <c r="B72" s="9">
        <v>1400</v>
      </c>
      <c r="C72" s="123">
        <f>'I. Фін результат'!C107</f>
        <v>0</v>
      </c>
      <c r="D72" s="257">
        <f>'I. Фін результат'!D107</f>
        <v>-847.04525000000012</v>
      </c>
      <c r="E72" s="257">
        <f>'I. Фін результат'!E107</f>
        <v>-396.15</v>
      </c>
      <c r="F72" s="257">
        <f>'I. Фін результат'!F107</f>
        <v>-440.34190000000001</v>
      </c>
      <c r="G72" s="257">
        <f>F72-E72</f>
        <v>-44.191900000000032</v>
      </c>
      <c r="H72" s="258">
        <f>(F72/E72)*100</f>
        <v>111.15534519752619</v>
      </c>
    </row>
    <row r="73" spans="1:11" s="5" customFormat="1" ht="20.100000000000001" customHeight="1">
      <c r="A73" s="8" t="s">
        <v>188</v>
      </c>
      <c r="B73" s="41">
        <v>1401</v>
      </c>
      <c r="C73" s="123">
        <f>'I. Фін результат'!C108</f>
        <v>0</v>
      </c>
      <c r="D73" s="330">
        <f>'I. Фін результат'!D107</f>
        <v>-847.04525000000012</v>
      </c>
      <c r="E73" s="330">
        <v>0</v>
      </c>
      <c r="F73" s="330">
        <f>'I. Фін результат'!F108</f>
        <v>0</v>
      </c>
      <c r="G73" s="330">
        <f>F73-E73</f>
        <v>0</v>
      </c>
      <c r="H73" s="330" t="e">
        <f>(F73/E73)*100</f>
        <v>#DIV/0!</v>
      </c>
      <c r="I73" s="286"/>
      <c r="J73" s="286"/>
      <c r="K73" s="286"/>
    </row>
    <row r="74" spans="1:11" s="5" customFormat="1" ht="20.100000000000001" customHeight="1">
      <c r="A74" s="8" t="s">
        <v>28</v>
      </c>
      <c r="B74" s="41">
        <v>1402</v>
      </c>
      <c r="C74" s="123">
        <f>'I. Фін результат'!C109</f>
        <v>0</v>
      </c>
      <c r="D74" s="341">
        <f>'I. Фін результат'!D109</f>
        <v>-847.04525000000012</v>
      </c>
      <c r="E74" s="330">
        <f>'I. Фін результат'!E108</f>
        <v>0</v>
      </c>
      <c r="F74" s="341">
        <f>'I. Фін результат'!F109</f>
        <v>-440.34190000000001</v>
      </c>
      <c r="G74" s="330">
        <f>F74-E74</f>
        <v>-440.34190000000001</v>
      </c>
      <c r="H74" s="330" t="e">
        <f t="shared" si="1"/>
        <v>#DIV/0!</v>
      </c>
      <c r="I74" s="286"/>
      <c r="J74" s="286"/>
      <c r="K74" s="286"/>
    </row>
    <row r="75" spans="1:11" s="5" customFormat="1" ht="20.100000000000001" customHeight="1">
      <c r="A75" s="8" t="s">
        <v>5</v>
      </c>
      <c r="B75" s="14">
        <v>1410</v>
      </c>
      <c r="C75" s="123">
        <f>'I. Фін результат'!C110</f>
        <v>0</v>
      </c>
      <c r="D75" s="257">
        <f>'I. Фін результат'!D110</f>
        <v>-24255.457160000002</v>
      </c>
      <c r="E75" s="257">
        <f>'I. Фін результат'!E110</f>
        <v>-11686</v>
      </c>
      <c r="F75" s="257">
        <f>'I. Фін результат'!F110</f>
        <v>-12409.1</v>
      </c>
      <c r="G75" s="257">
        <f>F75-E75</f>
        <v>-723.10000000000036</v>
      </c>
      <c r="H75" s="258">
        <f>(F75/E75)*100</f>
        <v>106.18774602087969</v>
      </c>
    </row>
    <row r="76" spans="1:11" s="5" customFormat="1" ht="20.100000000000001" customHeight="1">
      <c r="A76" s="8" t="s">
        <v>6</v>
      </c>
      <c r="B76" s="14">
        <v>1420</v>
      </c>
      <c r="C76" s="123">
        <f>'I. Фін результат'!C111</f>
        <v>0</v>
      </c>
      <c r="D76" s="257">
        <f>'I. Фін результат'!D111</f>
        <v>-5364.4604099999997</v>
      </c>
      <c r="E76" s="257">
        <f>'I. Фін результат'!E111</f>
        <v>-2589.6499999999996</v>
      </c>
      <c r="F76" s="257">
        <f>'I. Фін результат'!F111</f>
        <v>-2733.5</v>
      </c>
      <c r="G76" s="257">
        <f>F76-E76</f>
        <v>-143.85000000000036</v>
      </c>
      <c r="H76" s="258">
        <f>(F76/E76)*100</f>
        <v>105.55480470333831</v>
      </c>
    </row>
    <row r="77" spans="1:11" s="5" customFormat="1" ht="20.100000000000001" customHeight="1">
      <c r="A77" s="8" t="s">
        <v>7</v>
      </c>
      <c r="B77" s="14">
        <v>1430</v>
      </c>
      <c r="C77" s="123">
        <f>'I. Фін результат'!C112</f>
        <v>0</v>
      </c>
      <c r="D77" s="257">
        <f>'I. Фін результат'!D112</f>
        <v>-4300.9666799999995</v>
      </c>
      <c r="E77" s="257">
        <v>0</v>
      </c>
      <c r="F77" s="257">
        <v>0</v>
      </c>
      <c r="G77" s="257">
        <f>F78-E77</f>
        <v>-12246.539379999998</v>
      </c>
      <c r="H77" s="258" t="e">
        <f>(F78/E77)*100</f>
        <v>#DIV/0!</v>
      </c>
    </row>
    <row r="78" spans="1:11" s="5" customFormat="1" ht="20.100000000000001" customHeight="1">
      <c r="A78" s="8" t="s">
        <v>29</v>
      </c>
      <c r="B78" s="14">
        <v>1440</v>
      </c>
      <c r="C78" s="123">
        <f>'I. Фін результат'!C113</f>
        <v>0</v>
      </c>
      <c r="D78" s="257">
        <f>'I. Фін результат'!D113</f>
        <v>-19291.906879999999</v>
      </c>
      <c r="E78" s="257">
        <f>'I. Фін результат'!E113</f>
        <v>-2978</v>
      </c>
      <c r="F78" s="257">
        <f>'I. Фін результат'!F113</f>
        <v>-12246.539379999998</v>
      </c>
      <c r="G78" s="257">
        <f>F79-E78</f>
        <v>-24851.48128</v>
      </c>
      <c r="H78" s="258">
        <f>(F79/E78)*100</f>
        <v>934.50239355272004</v>
      </c>
    </row>
    <row r="79" spans="1:11" s="5" customFormat="1" ht="20.100000000000001" customHeight="1" thickBot="1">
      <c r="A79" s="10" t="s">
        <v>49</v>
      </c>
      <c r="B79" s="52">
        <v>1450</v>
      </c>
      <c r="C79" s="124">
        <f>SUM(C72,C75:C78)</f>
        <v>0</v>
      </c>
      <c r="D79" s="211">
        <f>SUM(D72,D75:D78)</f>
        <v>-54059.836379999993</v>
      </c>
      <c r="E79" s="211">
        <f>SUM(E72,E75:E78)</f>
        <v>-17649.8</v>
      </c>
      <c r="F79" s="211">
        <f>SUM(F72,F75:F78)</f>
        <v>-27829.48128</v>
      </c>
      <c r="G79" s="221">
        <f>F79-E79</f>
        <v>-10179.681280000001</v>
      </c>
      <c r="H79" s="256">
        <f>(F79/E79)*100</f>
        <v>157.67590159661867</v>
      </c>
    </row>
    <row r="80" spans="1:11" s="5" customFormat="1" ht="19.5" thickBot="1">
      <c r="A80" s="355" t="s">
        <v>120</v>
      </c>
      <c r="B80" s="356"/>
      <c r="C80" s="356"/>
      <c r="D80" s="356"/>
      <c r="E80" s="356"/>
      <c r="F80" s="374"/>
      <c r="G80" s="356"/>
      <c r="H80" s="357"/>
    </row>
    <row r="81" spans="1:8" s="5" customFormat="1">
      <c r="A81" s="380" t="s">
        <v>119</v>
      </c>
      <c r="B81" s="381"/>
      <c r="C81" s="381"/>
      <c r="D81" s="381"/>
      <c r="E81" s="381"/>
      <c r="F81" s="381"/>
      <c r="G81" s="381"/>
      <c r="H81" s="382"/>
    </row>
    <row r="82" spans="1:8" s="5" customFormat="1" ht="37.5" customHeight="1">
      <c r="A82" s="146" t="s">
        <v>51</v>
      </c>
      <c r="B82" s="134">
        <v>2000</v>
      </c>
      <c r="C82" s="123">
        <f>'ІІ. Розр. з бюджетом'!C8</f>
        <v>0</v>
      </c>
      <c r="D82" s="123">
        <f>'ІІ. Розр. з бюджетом'!D19</f>
        <v>-1886.3096899999955</v>
      </c>
      <c r="E82" s="257">
        <f>'ІІ. Розр. з бюджетом'!E8</f>
        <v>0</v>
      </c>
      <c r="F82" s="257">
        <f>'ІІ. Розр. з бюджетом'!F8</f>
        <v>0</v>
      </c>
      <c r="G82" s="257">
        <f>F82-E82</f>
        <v>0</v>
      </c>
      <c r="H82" s="258" t="e">
        <f>(F82/E82)*100</f>
        <v>#DIV/0!</v>
      </c>
    </row>
    <row r="83" spans="1:8" s="5" customFormat="1" ht="37.5" customHeight="1">
      <c r="A83" s="8" t="s">
        <v>269</v>
      </c>
      <c r="B83" s="6">
        <v>1200</v>
      </c>
      <c r="C83" s="123" t="e">
        <f>'ІІ. Розр. з бюджетом'!C7</f>
        <v>#REF!</v>
      </c>
      <c r="D83" s="257">
        <f>'ІІ. Розр. з бюджетом'!D7</f>
        <v>-1886.3096899999955</v>
      </c>
      <c r="E83" s="257">
        <f>'ІІ. Розр. з бюджетом'!E7</f>
        <v>0</v>
      </c>
      <c r="F83" s="257">
        <f>'ІІ. Розр. з бюджетом'!F7</f>
        <v>-7714.3245899999965</v>
      </c>
      <c r="G83" s="257">
        <f>F83-E83</f>
        <v>-7714.3245899999965</v>
      </c>
      <c r="H83" s="258" t="e">
        <f>(F83/E83)*100</f>
        <v>#DIV/0!</v>
      </c>
    </row>
    <row r="84" spans="1:8" s="5" customFormat="1" ht="39.75" customHeight="1">
      <c r="A84" s="48" t="s">
        <v>249</v>
      </c>
      <c r="B84" s="6">
        <v>2010</v>
      </c>
      <c r="C84" s="166">
        <f>SUM(C85:C86)</f>
        <v>0</v>
      </c>
      <c r="D84" s="260">
        <f>SUM(D85:D86)</f>
        <v>0</v>
      </c>
      <c r="E84" s="260">
        <f>SUM(E85:E86)</f>
        <v>0</v>
      </c>
      <c r="F84" s="260">
        <f>SUM(F85:F86)</f>
        <v>0</v>
      </c>
      <c r="G84" s="257">
        <f>F84-E84</f>
        <v>0</v>
      </c>
      <c r="H84" s="258" t="e">
        <f>(F84/E84)*100</f>
        <v>#DIV/0!</v>
      </c>
    </row>
    <row r="85" spans="1:8" s="5" customFormat="1" ht="37.5" customHeight="1">
      <c r="A85" s="8" t="s">
        <v>142</v>
      </c>
      <c r="B85" s="6">
        <v>2011</v>
      </c>
      <c r="C85" s="123" t="str">
        <f>'ІІ. Розр. з бюджетом'!C10</f>
        <v>(    )</v>
      </c>
      <c r="D85" s="257" t="str">
        <f>'ІІ. Розр. з бюджетом'!D10</f>
        <v>(    )</v>
      </c>
      <c r="E85" s="257" t="str">
        <f>'ІІ. Розр. з бюджетом'!E10</f>
        <v>(    )</v>
      </c>
      <c r="F85" s="257" t="str">
        <f>'ІІ. Розр. з бюджетом'!F10</f>
        <v>(    )</v>
      </c>
      <c r="G85" s="257" t="e">
        <f t="shared" ref="G85:G92" si="2">F85-E85</f>
        <v>#VALUE!</v>
      </c>
      <c r="H85" s="258" t="e">
        <f t="shared" ref="H85:H92" si="3">(F85/E85)*100</f>
        <v>#VALUE!</v>
      </c>
    </row>
    <row r="86" spans="1:8" s="5" customFormat="1" ht="39.75" customHeight="1">
      <c r="A86" s="8" t="s">
        <v>435</v>
      </c>
      <c r="B86" s="6">
        <v>2012</v>
      </c>
      <c r="C86" s="123" t="str">
        <f>'ІІ. Розр. з бюджетом'!C11</f>
        <v>(    )</v>
      </c>
      <c r="D86" s="257" t="str">
        <f>'ІІ. Розр. з бюджетом'!D11</f>
        <v>(    )</v>
      </c>
      <c r="E86" s="257" t="str">
        <f>'ІІ. Розр. з бюджетом'!E11</f>
        <v>(    )</v>
      </c>
      <c r="F86" s="257">
        <f>'ІІ. Розр. з бюджетом'!F11</f>
        <v>0</v>
      </c>
      <c r="G86" s="257" t="e">
        <f t="shared" si="2"/>
        <v>#VALUE!</v>
      </c>
      <c r="H86" s="258" t="e">
        <f t="shared" si="3"/>
        <v>#VALUE!</v>
      </c>
    </row>
    <row r="87" spans="1:8" s="5" customFormat="1">
      <c r="A87" s="8" t="s">
        <v>127</v>
      </c>
      <c r="B87" s="6" t="s">
        <v>149</v>
      </c>
      <c r="C87" s="123" t="str">
        <f>'ІІ. Розр. з бюджетом'!C12</f>
        <v>(    )</v>
      </c>
      <c r="D87" s="257" t="str">
        <f>'ІІ. Розр. з бюджетом'!D12</f>
        <v>(    )</v>
      </c>
      <c r="E87" s="257" t="str">
        <f>'ІІ. Розр. з бюджетом'!E12</f>
        <v>(    )</v>
      </c>
      <c r="F87" s="257" t="str">
        <f>'ІІ. Розр. з бюджетом'!F12</f>
        <v>(    )</v>
      </c>
      <c r="G87" s="257" t="e">
        <f t="shared" si="2"/>
        <v>#VALUE!</v>
      </c>
      <c r="H87" s="258" t="e">
        <f t="shared" si="3"/>
        <v>#VALUE!</v>
      </c>
    </row>
    <row r="88" spans="1:8" s="5" customFormat="1">
      <c r="A88" s="8" t="s">
        <v>136</v>
      </c>
      <c r="B88" s="6">
        <v>2020</v>
      </c>
      <c r="C88" s="123">
        <f>'ІІ. Розр. з бюджетом'!C13</f>
        <v>0</v>
      </c>
      <c r="D88" s="257">
        <f>'ІІ. Розр. з бюджетом'!D13</f>
        <v>0</v>
      </c>
      <c r="E88" s="257">
        <f>'ІІ. Розр. з бюджетом'!E13</f>
        <v>0</v>
      </c>
      <c r="F88" s="257">
        <f>'ІІ. Розр. з бюджетом'!F13</f>
        <v>0</v>
      </c>
      <c r="G88" s="257">
        <f t="shared" si="2"/>
        <v>0</v>
      </c>
      <c r="H88" s="258" t="e">
        <f t="shared" si="3"/>
        <v>#DIV/0!</v>
      </c>
    </row>
    <row r="89" spans="1:8" s="5" customFormat="1">
      <c r="A89" s="48" t="s">
        <v>61</v>
      </c>
      <c r="B89" s="6">
        <v>2030</v>
      </c>
      <c r="C89" s="123" t="str">
        <f>'ІІ. Розр. з бюджетом'!C14</f>
        <v>(    )</v>
      </c>
      <c r="D89" s="257" t="str">
        <f>'ІІ. Розр. з бюджетом'!D14</f>
        <v>(    )</v>
      </c>
      <c r="E89" s="257" t="str">
        <f>'ІІ. Розр. з бюджетом'!E14</f>
        <v>(    )</v>
      </c>
      <c r="F89" s="257" t="str">
        <f>'ІІ. Розр. з бюджетом'!F14</f>
        <v>(    )</v>
      </c>
      <c r="G89" s="257" t="e">
        <f t="shared" si="2"/>
        <v>#VALUE!</v>
      </c>
      <c r="H89" s="258" t="e">
        <f t="shared" si="3"/>
        <v>#VALUE!</v>
      </c>
    </row>
    <row r="90" spans="1:8" s="5" customFormat="1">
      <c r="A90" s="48" t="s">
        <v>27</v>
      </c>
      <c r="B90" s="6">
        <v>2040</v>
      </c>
      <c r="C90" s="123" t="str">
        <f>'ІІ. Розр. з бюджетом'!C16</f>
        <v>(    )</v>
      </c>
      <c r="D90" s="257" t="str">
        <f>'ІІ. Розр. з бюджетом'!D16</f>
        <v>(    )</v>
      </c>
      <c r="E90" s="257" t="str">
        <f>'ІІ. Розр. з бюджетом'!E16</f>
        <v>(    )</v>
      </c>
      <c r="F90" s="257" t="str">
        <f>'ІІ. Розр. з бюджетом'!F16</f>
        <v>(    )</v>
      </c>
      <c r="G90" s="257" t="e">
        <f t="shared" si="2"/>
        <v>#VALUE!</v>
      </c>
      <c r="H90" s="258" t="e">
        <f t="shared" si="3"/>
        <v>#VALUE!</v>
      </c>
    </row>
    <row r="91" spans="1:8" s="5" customFormat="1">
      <c r="A91" s="48" t="s">
        <v>231</v>
      </c>
      <c r="B91" s="6">
        <v>2050</v>
      </c>
      <c r="C91" s="123" t="str">
        <f>'ІІ. Розр. з бюджетом'!C17</f>
        <v>(    )</v>
      </c>
      <c r="D91" s="257" t="str">
        <f>'ІІ. Розр. з бюджетом'!D17</f>
        <v>(    )</v>
      </c>
      <c r="E91" s="257" t="str">
        <f>'ІІ. Розр. з бюджетом'!E17</f>
        <v>(    )</v>
      </c>
      <c r="F91" s="257" t="str">
        <f>'ІІ. Розр. з бюджетом'!F17</f>
        <v>(    )</v>
      </c>
      <c r="G91" s="257" t="e">
        <f t="shared" si="2"/>
        <v>#VALUE!</v>
      </c>
      <c r="H91" s="258" t="e">
        <f t="shared" si="3"/>
        <v>#VALUE!</v>
      </c>
    </row>
    <row r="92" spans="1:8" s="5" customFormat="1">
      <c r="A92" s="48" t="s">
        <v>232</v>
      </c>
      <c r="B92" s="6">
        <v>2060</v>
      </c>
      <c r="C92" s="123" t="str">
        <f>'ІІ. Розр. з бюджетом'!C18</f>
        <v>(    )</v>
      </c>
      <c r="D92" s="257" t="str">
        <f>'ІІ. Розр. з бюджетом'!D18</f>
        <v>(    )</v>
      </c>
      <c r="E92" s="257" t="str">
        <f>'ІІ. Розр. з бюджетом'!E18</f>
        <v>(    )</v>
      </c>
      <c r="F92" s="257" t="str">
        <f>'ІІ. Розр. з бюджетом'!F18</f>
        <v>(    )</v>
      </c>
      <c r="G92" s="257" t="e">
        <f t="shared" si="2"/>
        <v>#VALUE!</v>
      </c>
      <c r="H92" s="258" t="e">
        <f t="shared" si="3"/>
        <v>#VALUE!</v>
      </c>
    </row>
    <row r="93" spans="1:8" s="5" customFormat="1" ht="41.25" customHeight="1">
      <c r="A93" s="48" t="s">
        <v>52</v>
      </c>
      <c r="B93" s="6">
        <v>2070</v>
      </c>
      <c r="C93" s="127" t="e">
        <f>SUM(C82:C84,C88:C92)</f>
        <v>#REF!</v>
      </c>
      <c r="D93" s="216">
        <f>'ІІ. Розр. з бюджетом'!D19</f>
        <v>-1886.3096899999955</v>
      </c>
      <c r="E93" s="216">
        <f>'ІІ. Розр. з бюджетом'!E19</f>
        <v>0</v>
      </c>
      <c r="F93" s="216">
        <f>'ІІ. Розр. з бюджетом'!F19</f>
        <v>-7714.3245899999965</v>
      </c>
      <c r="G93" s="257">
        <f>F93-E93</f>
        <v>-7714.3245899999965</v>
      </c>
      <c r="H93" s="258" t="e">
        <f>(F93/E93)*100</f>
        <v>#DIV/0!</v>
      </c>
    </row>
    <row r="94" spans="1:8" s="5" customFormat="1" ht="21.75" customHeight="1">
      <c r="A94" s="377" t="s">
        <v>340</v>
      </c>
      <c r="B94" s="378"/>
      <c r="C94" s="378"/>
      <c r="D94" s="378"/>
      <c r="E94" s="378"/>
      <c r="F94" s="378"/>
      <c r="G94" s="378"/>
      <c r="H94" s="379"/>
    </row>
    <row r="95" spans="1:8" s="5" customFormat="1" ht="41.25" customHeight="1">
      <c r="A95" s="75" t="s">
        <v>332</v>
      </c>
      <c r="B95" s="151">
        <v>2110</v>
      </c>
      <c r="C95" s="125">
        <f>'ІІ. Розр. з бюджетом'!C21</f>
        <v>0</v>
      </c>
      <c r="D95" s="220">
        <f>'ІІ. Розр. з бюджетом'!D21</f>
        <v>49.791629999999998</v>
      </c>
      <c r="E95" s="220">
        <f>'ІІ. Розр. з бюджетом'!E21</f>
        <v>0</v>
      </c>
      <c r="F95" s="220">
        <f>'ІІ. Розр. з бюджетом'!F21</f>
        <v>27.998999999999999</v>
      </c>
      <c r="G95" s="220">
        <f>F95-E95</f>
        <v>27.998999999999999</v>
      </c>
      <c r="H95" s="256" t="e">
        <f>(F95/E95)*100</f>
        <v>#DIV/0!</v>
      </c>
    </row>
    <row r="96" spans="1:8" s="5" customFormat="1">
      <c r="A96" s="8" t="s">
        <v>254</v>
      </c>
      <c r="B96" s="6">
        <v>2111</v>
      </c>
      <c r="C96" s="117">
        <f>'ІІ. Розр. з бюджетом'!C22</f>
        <v>0</v>
      </c>
      <c r="D96" s="209">
        <f>'ІІ. Розр. з бюджетом'!D22</f>
        <v>0</v>
      </c>
      <c r="E96" s="209">
        <f>'ІІ. Розр. з бюджетом'!E22</f>
        <v>0</v>
      </c>
      <c r="F96" s="209">
        <f>'ІІ. Розр. з бюджетом'!F22</f>
        <v>0</v>
      </c>
      <c r="G96" s="209">
        <f t="shared" ref="G96:G105" si="4">F96-E96</f>
        <v>0</v>
      </c>
      <c r="H96" s="258" t="e">
        <f t="shared" ref="H96:H107" si="5">(F96/E96)*100</f>
        <v>#DIV/0!</v>
      </c>
    </row>
    <row r="97" spans="1:8" s="5" customFormat="1">
      <c r="A97" s="8" t="s">
        <v>333</v>
      </c>
      <c r="B97" s="6">
        <v>2112</v>
      </c>
      <c r="C97" s="117">
        <f>'ІІ. Розр. з бюджетом'!C23</f>
        <v>0</v>
      </c>
      <c r="D97" s="209">
        <f>'ІІ. Розр. з бюджетом'!D23</f>
        <v>49.791629999999998</v>
      </c>
      <c r="E97" s="209">
        <f>'ІІ. Розр. з бюджетом'!E23</f>
        <v>0</v>
      </c>
      <c r="F97" s="209">
        <f>'ІІ. Розр. з бюджетом'!F23</f>
        <v>27.998999999999999</v>
      </c>
      <c r="G97" s="209">
        <f>F97-E97</f>
        <v>27.998999999999999</v>
      </c>
      <c r="H97" s="258" t="e">
        <f t="shared" si="5"/>
        <v>#DIV/0!</v>
      </c>
    </row>
    <row r="98" spans="1:8" s="5" customFormat="1" ht="38.25" customHeight="1">
      <c r="A98" s="48" t="s">
        <v>334</v>
      </c>
      <c r="B98" s="7">
        <v>2113</v>
      </c>
      <c r="C98" s="117" t="str">
        <f>'ІІ. Розр. з бюджетом'!C24</f>
        <v>(    )</v>
      </c>
      <c r="D98" s="209" t="str">
        <f>'ІІ. Розр. з бюджетом'!D24</f>
        <v>(    )</v>
      </c>
      <c r="E98" s="209" t="str">
        <f>'ІІ. Розр. з бюджетом'!E24</f>
        <v>(    )</v>
      </c>
      <c r="F98" s="209" t="str">
        <f>'ІІ. Розр. з бюджетом'!F24</f>
        <v>(    )</v>
      </c>
      <c r="G98" s="209" t="e">
        <f t="shared" si="4"/>
        <v>#VALUE!</v>
      </c>
      <c r="H98" s="258" t="e">
        <f t="shared" si="5"/>
        <v>#VALUE!</v>
      </c>
    </row>
    <row r="99" spans="1:8" s="5" customFormat="1">
      <c r="A99" s="48" t="s">
        <v>74</v>
      </c>
      <c r="B99" s="7">
        <v>2114</v>
      </c>
      <c r="C99" s="117">
        <f>'ІІ. Розр. з бюджетом'!C25</f>
        <v>0</v>
      </c>
      <c r="D99" s="209">
        <f>'ІІ. Розр. з бюджетом'!D25</f>
        <v>0</v>
      </c>
      <c r="E99" s="209">
        <f>'ІІ. Розр. з бюджетом'!E25</f>
        <v>0</v>
      </c>
      <c r="F99" s="209">
        <f>'ІІ. Розр. з бюджетом'!F25</f>
        <v>0</v>
      </c>
      <c r="G99" s="209">
        <f t="shared" si="4"/>
        <v>0</v>
      </c>
      <c r="H99" s="258" t="e">
        <f t="shared" si="5"/>
        <v>#DIV/0!</v>
      </c>
    </row>
    <row r="100" spans="1:8" s="5" customFormat="1" ht="37.5">
      <c r="A100" s="48" t="s">
        <v>335</v>
      </c>
      <c r="B100" s="7">
        <v>2115</v>
      </c>
      <c r="C100" s="117">
        <f>'ІІ. Розр. з бюджетом'!C26</f>
        <v>0</v>
      </c>
      <c r="D100" s="209">
        <f>'ІІ. Розр. з бюджетом'!D26</f>
        <v>0</v>
      </c>
      <c r="E100" s="209">
        <f>'ІІ. Розр. з бюджетом'!E26</f>
        <v>0</v>
      </c>
      <c r="F100" s="209">
        <f>'ІІ. Розр. з бюджетом'!F26</f>
        <v>0</v>
      </c>
      <c r="G100" s="209">
        <f t="shared" si="4"/>
        <v>0</v>
      </c>
      <c r="H100" s="258" t="e">
        <f t="shared" si="5"/>
        <v>#DIV/0!</v>
      </c>
    </row>
    <row r="101" spans="1:8" s="5" customFormat="1">
      <c r="A101" s="48" t="s">
        <v>88</v>
      </c>
      <c r="B101" s="7">
        <v>2116</v>
      </c>
      <c r="C101" s="117">
        <f>'ІІ. Розр. з бюджетом'!C27</f>
        <v>0</v>
      </c>
      <c r="D101" s="209">
        <f>'ІІ. Розр. з бюджетом'!D27</f>
        <v>0</v>
      </c>
      <c r="E101" s="209">
        <f>'ІІ. Розр. з бюджетом'!E27</f>
        <v>0</v>
      </c>
      <c r="F101" s="209">
        <f>'ІІ. Розр. з бюджетом'!F27</f>
        <v>0</v>
      </c>
      <c r="G101" s="209">
        <f t="shared" si="4"/>
        <v>0</v>
      </c>
      <c r="H101" s="258" t="e">
        <f t="shared" si="5"/>
        <v>#DIV/0!</v>
      </c>
    </row>
    <row r="102" spans="1:8" s="5" customFormat="1">
      <c r="A102" s="48" t="s">
        <v>355</v>
      </c>
      <c r="B102" s="7">
        <v>2117</v>
      </c>
      <c r="C102" s="117">
        <f>'ІІ. Розр. з бюджетом'!C28</f>
        <v>0</v>
      </c>
      <c r="D102" s="209">
        <f>'ІІ. Розр. з бюджетом'!D28</f>
        <v>0</v>
      </c>
      <c r="E102" s="209">
        <f>'ІІ. Розр. з бюджетом'!E28</f>
        <v>0</v>
      </c>
      <c r="F102" s="209">
        <f>'ІІ. Розр. з бюджетом'!F28</f>
        <v>0</v>
      </c>
      <c r="G102" s="209">
        <f t="shared" si="4"/>
        <v>0</v>
      </c>
      <c r="H102" s="258" t="e">
        <f t="shared" si="5"/>
        <v>#DIV/0!</v>
      </c>
    </row>
    <row r="103" spans="1:8" s="5" customFormat="1" ht="21.75" customHeight="1">
      <c r="A103" s="75" t="s">
        <v>336</v>
      </c>
      <c r="B103" s="61">
        <v>2120</v>
      </c>
      <c r="C103" s="139">
        <f>'ІІ. Розр. з бюджетом'!C31</f>
        <v>0</v>
      </c>
      <c r="D103" s="221">
        <f>'ІІ. Розр. з бюджетом'!D31</f>
        <v>5243.1213699999998</v>
      </c>
      <c r="E103" s="221">
        <f>'ІІ. Розр. з бюджетом'!E31</f>
        <v>0</v>
      </c>
      <c r="F103" s="221">
        <f>'ІІ. Розр. з бюджетом'!F31</f>
        <v>2357.3319199999996</v>
      </c>
      <c r="G103" s="220">
        <f>F103-E103</f>
        <v>2357.3319199999996</v>
      </c>
      <c r="H103" s="256" t="e">
        <f t="shared" si="5"/>
        <v>#DIV/0!</v>
      </c>
    </row>
    <row r="104" spans="1:8" s="5" customFormat="1" ht="37.5">
      <c r="A104" s="75" t="s">
        <v>337</v>
      </c>
      <c r="B104" s="61">
        <v>2130</v>
      </c>
      <c r="C104" s="139">
        <f>'ІІ. Розр. з бюджетом'!C37</f>
        <v>0</v>
      </c>
      <c r="D104" s="221">
        <f>'ІІ. Розр. з бюджетом'!D37</f>
        <v>6036.8744399999996</v>
      </c>
      <c r="E104" s="221">
        <f>'ІІ. Розр. з бюджетом'!E37</f>
        <v>0</v>
      </c>
      <c r="F104" s="221">
        <f>'ІІ. Розр. з бюджетом'!F37</f>
        <v>2832.6816399999998</v>
      </c>
      <c r="G104" s="220">
        <f>F104-E104</f>
        <v>2832.6816399999998</v>
      </c>
      <c r="H104" s="256" t="e">
        <f>(F104/E104)*100</f>
        <v>#DIV/0!</v>
      </c>
    </row>
    <row r="105" spans="1:8" s="5" customFormat="1" ht="60.75" customHeight="1">
      <c r="A105" s="91" t="s">
        <v>436</v>
      </c>
      <c r="B105" s="7">
        <v>2131</v>
      </c>
      <c r="C105" s="123">
        <f>'ІІ. Розр. з бюджетом'!C38</f>
        <v>0</v>
      </c>
      <c r="D105" s="257">
        <f>'ІІ. Розр. з бюджетом'!D38</f>
        <v>0</v>
      </c>
      <c r="E105" s="257">
        <f>'ІІ. Розр. з бюджетом'!E38</f>
        <v>0</v>
      </c>
      <c r="F105" s="257">
        <f>'ІІ. Розр. з бюджетом'!F38</f>
        <v>0</v>
      </c>
      <c r="G105" s="209">
        <f t="shared" si="4"/>
        <v>0</v>
      </c>
      <c r="H105" s="258" t="e">
        <f t="shared" si="5"/>
        <v>#DIV/0!</v>
      </c>
    </row>
    <row r="106" spans="1:8" s="5" customFormat="1" ht="19.5" customHeight="1">
      <c r="A106" s="91" t="s">
        <v>338</v>
      </c>
      <c r="B106" s="7">
        <v>2133</v>
      </c>
      <c r="C106" s="123">
        <f>'ІІ. Розр. з бюджетом'!C40</f>
        <v>0</v>
      </c>
      <c r="D106" s="257">
        <f>'ІІ. Розр. з бюджетом'!D40</f>
        <v>6036.8744399999996</v>
      </c>
      <c r="E106" s="257">
        <f>'ІІ. Розр. з бюджетом'!E40</f>
        <v>0</v>
      </c>
      <c r="F106" s="257">
        <f>'ІІ. Розр. з бюджетом'!F40</f>
        <v>2832.6816399999998</v>
      </c>
      <c r="G106" s="209">
        <f>F106-E106</f>
        <v>2832.6816399999998</v>
      </c>
      <c r="H106" s="258" t="e">
        <f t="shared" si="5"/>
        <v>#DIV/0!</v>
      </c>
    </row>
    <row r="107" spans="1:8" s="5" customFormat="1" ht="22.5" customHeight="1" thickBot="1">
      <c r="A107" s="90" t="s">
        <v>339</v>
      </c>
      <c r="B107" s="195">
        <v>2200</v>
      </c>
      <c r="C107" s="139">
        <f>'ІІ. Розр. з бюджетом'!C45</f>
        <v>0</v>
      </c>
      <c r="D107" s="221">
        <f>'ІІ. Розр. з бюджетом'!D45</f>
        <v>11329.78744</v>
      </c>
      <c r="E107" s="221">
        <f>'ІІ. Розр. з бюджетом'!E45</f>
        <v>0</v>
      </c>
      <c r="F107" s="221">
        <f>'ІІ. Розр. з бюджетом'!F45</f>
        <v>5218.0125599999992</v>
      </c>
      <c r="G107" s="220">
        <f>F107-E107</f>
        <v>5218.0125599999992</v>
      </c>
      <c r="H107" s="256" t="e">
        <f t="shared" si="5"/>
        <v>#DIV/0!</v>
      </c>
    </row>
    <row r="108" spans="1:8" s="5" customFormat="1" ht="19.5" thickBot="1">
      <c r="A108" s="355" t="s">
        <v>276</v>
      </c>
      <c r="B108" s="356"/>
      <c r="C108" s="356"/>
      <c r="D108" s="356"/>
      <c r="E108" s="356"/>
      <c r="F108" s="356"/>
      <c r="G108" s="356"/>
      <c r="H108" s="357"/>
    </row>
    <row r="109" spans="1:8" s="5" customFormat="1" ht="20.100000000000001" customHeight="1">
      <c r="A109" s="129" t="s">
        <v>273</v>
      </c>
      <c r="B109" s="11">
        <v>3405</v>
      </c>
      <c r="C109" s="139">
        <f>'ІІІ. Рух грош. коштів'!C92</f>
        <v>0</v>
      </c>
      <c r="D109" s="139">
        <f>'ІІІ. Рух грош. коштів'!D92</f>
        <v>0</v>
      </c>
      <c r="E109" s="139">
        <f>'ІІІ. Рух грош. коштів'!E92</f>
        <v>0</v>
      </c>
      <c r="F109" s="139">
        <f>'ІІІ. Рух грош. коштів'!F92</f>
        <v>0</v>
      </c>
      <c r="G109" s="125">
        <f t="shared" ref="G109:G114" si="6">F109-E109</f>
        <v>0</v>
      </c>
      <c r="H109" s="164" t="e">
        <f>(F109/E109)*100</f>
        <v>#DIV/0!</v>
      </c>
    </row>
    <row r="110" spans="1:8" s="5" customFormat="1" ht="20.100000000000001" customHeight="1">
      <c r="A110" s="91" t="s">
        <v>329</v>
      </c>
      <c r="B110" s="145">
        <v>3030</v>
      </c>
      <c r="C110" s="123">
        <f>'ІІІ. Рух грош. коштів'!C11</f>
        <v>0</v>
      </c>
      <c r="D110" s="123">
        <f>'ІІІ. Рух грош. коштів'!D11</f>
        <v>0</v>
      </c>
      <c r="E110" s="257">
        <f>'ІІІ. Рух грош. коштів'!E11</f>
        <v>9711.8499999999985</v>
      </c>
      <c r="F110" s="257">
        <f>'ІІІ. Рух грош. коштів'!F11</f>
        <v>0</v>
      </c>
      <c r="G110" s="209">
        <f>F110-E110</f>
        <v>-9711.8499999999985</v>
      </c>
      <c r="H110" s="258">
        <f>(F110/E110)*100</f>
        <v>0</v>
      </c>
    </row>
    <row r="111" spans="1:8" s="5" customFormat="1">
      <c r="A111" s="91" t="s">
        <v>267</v>
      </c>
      <c r="B111" s="145">
        <v>3195</v>
      </c>
      <c r="C111" s="123">
        <f>'ІІІ. Рух грош. коштів'!C50</f>
        <v>0</v>
      </c>
      <c r="D111" s="123">
        <f>'ІІІ. Рух грош. коштів'!D50</f>
        <v>0</v>
      </c>
      <c r="E111" s="257">
        <f>'ІІІ. Рух грош. коштів'!E50</f>
        <v>-9525.3499999999985</v>
      </c>
      <c r="F111" s="257">
        <f>'ІІІ. Рух грош. коштів'!F50</f>
        <v>0</v>
      </c>
      <c r="G111" s="209">
        <f>F111-E111</f>
        <v>9525.3499999999985</v>
      </c>
      <c r="H111" s="258">
        <f>(F111/E111)*100</f>
        <v>0</v>
      </c>
    </row>
    <row r="112" spans="1:8">
      <c r="A112" s="91" t="s">
        <v>121</v>
      </c>
      <c r="B112" s="145">
        <v>3295</v>
      </c>
      <c r="C112" s="123">
        <f>'ІІІ. Рух грош. коштів'!C69</f>
        <v>0</v>
      </c>
      <c r="D112" s="123">
        <f>'ІІІ. Рух грош. коштів'!D69</f>
        <v>0</v>
      </c>
      <c r="E112" s="257">
        <f>'ІІІ. Рух грош. коштів'!E69</f>
        <v>0</v>
      </c>
      <c r="F112" s="257">
        <f>'ІІІ. Рух грош. коштів'!F69</f>
        <v>0</v>
      </c>
      <c r="G112" s="209">
        <f t="shared" si="6"/>
        <v>0</v>
      </c>
      <c r="H112" s="258" t="e">
        <f t="shared" ref="H112:H114" si="7">(F112/E112)*100</f>
        <v>#DIV/0!</v>
      </c>
    </row>
    <row r="113" spans="1:8" s="5" customFormat="1">
      <c r="A113" s="91" t="s">
        <v>275</v>
      </c>
      <c r="B113" s="9">
        <v>3395</v>
      </c>
      <c r="C113" s="123">
        <f>'ІІІ. Рух грош. коштів'!C90</f>
        <v>0</v>
      </c>
      <c r="D113" s="123">
        <f>'ІІІ. Рух грош. коштів'!D90</f>
        <v>0</v>
      </c>
      <c r="E113" s="257">
        <f>'ІІІ. Рух грош. коштів'!E90</f>
        <v>0</v>
      </c>
      <c r="F113" s="257">
        <f ca="1">'ІІІ. Рух грош. коштів'!F90</f>
        <v>0</v>
      </c>
      <c r="G113" s="209">
        <f t="shared" ca="1" si="6"/>
        <v>0</v>
      </c>
      <c r="H113" s="258" t="e">
        <f t="shared" ca="1" si="7"/>
        <v>#DIV/0!</v>
      </c>
    </row>
    <row r="114" spans="1:8" s="5" customFormat="1">
      <c r="A114" s="91" t="s">
        <v>123</v>
      </c>
      <c r="B114" s="9">
        <v>3410</v>
      </c>
      <c r="C114" s="123">
        <f>'ІІІ. Рух грош. коштів'!C93</f>
        <v>0</v>
      </c>
      <c r="D114" s="123">
        <f>'ІІІ. Рух грош. коштів'!D93</f>
        <v>0</v>
      </c>
      <c r="E114" s="257">
        <f>'ІІІ. Рух грош. коштів'!E93</f>
        <v>0</v>
      </c>
      <c r="F114" s="257">
        <f>'ІІІ. Рух грош. коштів'!F93</f>
        <v>0</v>
      </c>
      <c r="G114" s="209">
        <f t="shared" si="6"/>
        <v>0</v>
      </c>
      <c r="H114" s="258" t="e">
        <f t="shared" si="7"/>
        <v>#DIV/0!</v>
      </c>
    </row>
    <row r="115" spans="1:8" s="5" customFormat="1" ht="19.5" thickBot="1">
      <c r="A115" s="130" t="s">
        <v>274</v>
      </c>
      <c r="B115" s="11">
        <v>3415</v>
      </c>
      <c r="C115" s="124">
        <f>SUM(C109,C111:C114)</f>
        <v>0</v>
      </c>
      <c r="D115" s="124">
        <f>SUM(D109,D111:D114)</f>
        <v>0</v>
      </c>
      <c r="E115" s="211">
        <f>SUM(E109,E111:E114)</f>
        <v>-9525.3499999999985</v>
      </c>
      <c r="F115" s="211">
        <f ca="1">SUM(F109,F111:F114)</f>
        <v>0</v>
      </c>
      <c r="G115" s="220">
        <f ca="1">F115-E115</f>
        <v>9525.3499999999985</v>
      </c>
      <c r="H115" s="256">
        <f ca="1">(F115/E115)*100</f>
        <v>0</v>
      </c>
    </row>
    <row r="116" spans="1:8" s="5" customFormat="1" ht="19.5" thickBot="1">
      <c r="A116" s="364" t="s">
        <v>277</v>
      </c>
      <c r="B116" s="365"/>
      <c r="C116" s="365"/>
      <c r="D116" s="365"/>
      <c r="E116" s="365"/>
      <c r="F116" s="365"/>
      <c r="G116" s="365"/>
      <c r="H116" s="366"/>
    </row>
    <row r="117" spans="1:8" s="5" customFormat="1" ht="20.100000000000001" customHeight="1">
      <c r="A117" s="322" t="s">
        <v>233</v>
      </c>
      <c r="B117" s="200">
        <v>4000</v>
      </c>
      <c r="C117" s="131">
        <f>SUM(C118:C123)</f>
        <v>0</v>
      </c>
      <c r="D117" s="131">
        <f>SUM(D118:D123)</f>
        <v>8574.7799999999988</v>
      </c>
      <c r="E117" s="217">
        <f>SUM(E118:E123)</f>
        <v>15303</v>
      </c>
      <c r="F117" s="217">
        <f>SUM(F118:F123)</f>
        <v>3191.2</v>
      </c>
      <c r="G117" s="220">
        <f>F117-E117</f>
        <v>-12111.8</v>
      </c>
      <c r="H117" s="256">
        <f>(F117/E117)*100</f>
        <v>20.853427432529568</v>
      </c>
    </row>
    <row r="118" spans="1:8" s="5" customFormat="1" ht="20.100000000000001" customHeight="1">
      <c r="A118" s="6"/>
      <c r="B118" s="68" t="s">
        <v>150</v>
      </c>
      <c r="C118" s="123">
        <f>'IV. Кап. інвестиції'!C7</f>
        <v>0</v>
      </c>
      <c r="D118" s="123">
        <f>'IV. Кап. інвестиції'!D7</f>
        <v>8574.7799999999988</v>
      </c>
      <c r="E118" s="257">
        <f>'IV. Кап. інвестиції'!E7</f>
        <v>15303</v>
      </c>
      <c r="F118" s="257">
        <f>'IV. Кап. інвестиції'!F7</f>
        <v>3191.2</v>
      </c>
      <c r="G118" s="209">
        <f>F118-E118</f>
        <v>-12111.8</v>
      </c>
      <c r="H118" s="258">
        <f>(F118/E118)*100</f>
        <v>20.853427432529568</v>
      </c>
    </row>
    <row r="119" spans="1:8" s="5" customFormat="1" ht="20.100000000000001" customHeight="1">
      <c r="A119" s="8" t="s">
        <v>2</v>
      </c>
      <c r="B119" s="67">
        <v>4020</v>
      </c>
      <c r="C119" s="123">
        <f>'IV. Кап. інвестиції'!C8</f>
        <v>0</v>
      </c>
      <c r="D119" s="123">
        <f>'IV. Кап. інвестиції'!D8</f>
        <v>0</v>
      </c>
      <c r="E119" s="257">
        <f>'IV. Кап. інвестиції'!E8</f>
        <v>0</v>
      </c>
      <c r="F119" s="257">
        <f>'IV. Кап. інвестиції'!F8</f>
        <v>0</v>
      </c>
      <c r="G119" s="209">
        <f t="shared" ref="G119:G127" si="8">F119-E119</f>
        <v>0</v>
      </c>
      <c r="H119" s="258" t="e">
        <f t="shared" ref="H119:H127" si="9">(F119/E119)*100</f>
        <v>#DIV/0!</v>
      </c>
    </row>
    <row r="120" spans="1:8" s="5" customFormat="1" ht="20.100000000000001" customHeight="1">
      <c r="A120" s="8" t="s">
        <v>30</v>
      </c>
      <c r="B120" s="68">
        <v>4030</v>
      </c>
      <c r="C120" s="123">
        <f>'IV. Кап. інвестиції'!C9</f>
        <v>0</v>
      </c>
      <c r="D120" s="123">
        <f>'IV. Кап. інвестиції'!D9</f>
        <v>0</v>
      </c>
      <c r="E120" s="257">
        <f>'IV. Кап. інвестиції'!E9</f>
        <v>0</v>
      </c>
      <c r="F120" s="257">
        <f>'IV. Кап. інвестиції'!F9</f>
        <v>0</v>
      </c>
      <c r="G120" s="209">
        <f t="shared" si="8"/>
        <v>0</v>
      </c>
      <c r="H120" s="258" t="e">
        <f t="shared" si="9"/>
        <v>#DIV/0!</v>
      </c>
    </row>
    <row r="121" spans="1:8" s="5" customFormat="1">
      <c r="A121" s="8" t="s">
        <v>3</v>
      </c>
      <c r="B121" s="67">
        <v>4040</v>
      </c>
      <c r="C121" s="123">
        <f>'IV. Кап. інвестиції'!C10</f>
        <v>0</v>
      </c>
      <c r="D121" s="123">
        <f>'IV. Кап. інвестиції'!D10</f>
        <v>0</v>
      </c>
      <c r="E121" s="257">
        <f>'IV. Кап. інвестиції'!E10</f>
        <v>0</v>
      </c>
      <c r="F121" s="257">
        <f>'IV. Кап. інвестиції'!F10</f>
        <v>0</v>
      </c>
      <c r="G121" s="209">
        <f t="shared" si="8"/>
        <v>0</v>
      </c>
      <c r="H121" s="258" t="e">
        <f t="shared" si="9"/>
        <v>#DIV/0!</v>
      </c>
    </row>
    <row r="122" spans="1:8" s="5" customFormat="1" ht="37.5">
      <c r="A122" s="8" t="s">
        <v>60</v>
      </c>
      <c r="B122" s="68">
        <v>4050</v>
      </c>
      <c r="C122" s="123">
        <f>'IV. Кап. інвестиції'!C11</f>
        <v>0</v>
      </c>
      <c r="D122" s="123">
        <f>'IV. Кап. інвестиції'!D11</f>
        <v>0</v>
      </c>
      <c r="E122" s="257">
        <f>'IV. Кап. інвестиції'!E11</f>
        <v>0</v>
      </c>
      <c r="F122" s="257">
        <f>'IV. Кап. інвестиції'!F11</f>
        <v>0</v>
      </c>
      <c r="G122" s="209">
        <f>F122-E122</f>
        <v>0</v>
      </c>
      <c r="H122" s="258" t="e">
        <f t="shared" si="9"/>
        <v>#DIV/0!</v>
      </c>
    </row>
    <row r="123" spans="1:8" s="5" customFormat="1">
      <c r="A123" s="8" t="s">
        <v>243</v>
      </c>
      <c r="B123" s="68">
        <v>4060</v>
      </c>
      <c r="C123" s="123">
        <f>'IV. Кап. інвестиції'!C12</f>
        <v>0</v>
      </c>
      <c r="D123" s="123">
        <f>'IV. Кап. інвестиції'!D12</f>
        <v>0</v>
      </c>
      <c r="E123" s="257">
        <f>'IV. Кап. інвестиції'!E12</f>
        <v>0</v>
      </c>
      <c r="F123" s="257">
        <f>'IV. Кап. інвестиції'!F12</f>
        <v>0</v>
      </c>
      <c r="G123" s="209">
        <f t="shared" si="8"/>
        <v>0</v>
      </c>
      <c r="H123" s="258" t="e">
        <f t="shared" si="9"/>
        <v>#DIV/0!</v>
      </c>
    </row>
    <row r="124" spans="1:8" s="5" customFormat="1" ht="20.100000000000001" customHeight="1">
      <c r="A124" s="90" t="s">
        <v>234</v>
      </c>
      <c r="B124" s="200">
        <v>4000</v>
      </c>
      <c r="C124" s="124">
        <f>SUM(C125:C128)</f>
        <v>0</v>
      </c>
      <c r="D124" s="124">
        <f>SUM(D125:D128)</f>
        <v>0</v>
      </c>
      <c r="E124" s="211">
        <f>SUM(E125:E128)</f>
        <v>0</v>
      </c>
      <c r="F124" s="211">
        <f>SUM(F125:F128)</f>
        <v>0</v>
      </c>
      <c r="G124" s="220">
        <f t="shared" si="8"/>
        <v>0</v>
      </c>
      <c r="H124" s="256" t="e">
        <f t="shared" si="9"/>
        <v>#DIV/0!</v>
      </c>
    </row>
    <row r="125" spans="1:8" s="5" customFormat="1" ht="20.100000000000001" customHeight="1">
      <c r="A125" s="48" t="s">
        <v>356</v>
      </c>
      <c r="B125" s="132" t="s">
        <v>235</v>
      </c>
      <c r="C125" s="123"/>
      <c r="D125" s="123"/>
      <c r="E125" s="257">
        <f>'6.2. Інша інфо_2'!M36</f>
        <v>0</v>
      </c>
      <c r="F125" s="257">
        <f>'6.2. Інша інфо_2'!N36</f>
        <v>0</v>
      </c>
      <c r="G125" s="209">
        <f t="shared" si="8"/>
        <v>0</v>
      </c>
      <c r="H125" s="258" t="e">
        <f t="shared" si="9"/>
        <v>#DIV/0!</v>
      </c>
    </row>
    <row r="126" spans="1:8" s="5" customFormat="1" ht="20.100000000000001" customHeight="1">
      <c r="A126" s="48" t="s">
        <v>357</v>
      </c>
      <c r="B126" s="132" t="s">
        <v>236</v>
      </c>
      <c r="C126" s="123"/>
      <c r="D126" s="123"/>
      <c r="E126" s="257">
        <f>'6.2. Інша інфо_2'!Q36</f>
        <v>0</v>
      </c>
      <c r="F126" s="257">
        <f>'6.2. Інша інфо_2'!R36</f>
        <v>0</v>
      </c>
      <c r="G126" s="209">
        <f t="shared" si="8"/>
        <v>0</v>
      </c>
      <c r="H126" s="258" t="e">
        <f t="shared" si="9"/>
        <v>#DIV/0!</v>
      </c>
    </row>
    <row r="127" spans="1:8" s="5" customFormat="1" ht="20.100000000000001" customHeight="1">
      <c r="A127" s="48" t="s">
        <v>197</v>
      </c>
      <c r="B127" s="132" t="s">
        <v>237</v>
      </c>
      <c r="C127" s="123"/>
      <c r="D127" s="123"/>
      <c r="E127" s="257">
        <f>'6.2. Інша інфо_2'!U36</f>
        <v>0</v>
      </c>
      <c r="F127" s="257">
        <f>'6.2. Інша інфо_2'!V36</f>
        <v>0</v>
      </c>
      <c r="G127" s="209">
        <f t="shared" si="8"/>
        <v>0</v>
      </c>
      <c r="H127" s="258" t="e">
        <f t="shared" si="9"/>
        <v>#DIV/0!</v>
      </c>
    </row>
    <row r="128" spans="1:8" s="5" customFormat="1" ht="20.100000000000001" customHeight="1" thickBot="1">
      <c r="A128" s="149" t="s">
        <v>358</v>
      </c>
      <c r="B128" s="150" t="s">
        <v>238</v>
      </c>
      <c r="C128" s="128"/>
      <c r="D128" s="128"/>
      <c r="E128" s="291">
        <f>'6.2. Інша інфо_2'!Y36</f>
        <v>0</v>
      </c>
      <c r="F128" s="291">
        <f>'6.2. Інша інфо_2'!Z36</f>
        <v>0</v>
      </c>
      <c r="G128" s="291">
        <f>F128-E128</f>
        <v>0</v>
      </c>
      <c r="H128" s="292" t="e">
        <f>(F128/E128)*100</f>
        <v>#DIV/0!</v>
      </c>
    </row>
    <row r="129" spans="1:8" s="5" customFormat="1" ht="19.5" thickBot="1">
      <c r="A129" s="360" t="s">
        <v>146</v>
      </c>
      <c r="B129" s="361"/>
      <c r="C129" s="361"/>
      <c r="D129" s="361"/>
      <c r="E129" s="361"/>
      <c r="F129" s="361"/>
      <c r="G129" s="361"/>
      <c r="H129" s="362"/>
    </row>
    <row r="130" spans="1:8" s="5" customFormat="1">
      <c r="A130" s="133" t="s">
        <v>308</v>
      </c>
      <c r="B130" s="134">
        <v>5040</v>
      </c>
      <c r="C130" s="170" t="e">
        <f>(C65/C34)*100</f>
        <v>#VALUE!</v>
      </c>
      <c r="D130" s="170">
        <f>(D65/D34)*100</f>
        <v>-7.280218773143833</v>
      </c>
      <c r="E130" s="92" t="s">
        <v>353</v>
      </c>
      <c r="F130" s="92" t="s">
        <v>353</v>
      </c>
      <c r="G130" s="181"/>
      <c r="H130" s="182"/>
    </row>
    <row r="131" spans="1:8" s="5" customFormat="1">
      <c r="A131" s="133" t="s">
        <v>309</v>
      </c>
      <c r="B131" s="134">
        <v>5020</v>
      </c>
      <c r="C131" s="170" t="e">
        <f>(C65/C142)*100</f>
        <v>#VALUE!</v>
      </c>
      <c r="D131" s="170" t="e">
        <f>(D65/D142)*100</f>
        <v>#DIV/0!</v>
      </c>
      <c r="E131" s="92" t="s">
        <v>353</v>
      </c>
      <c r="F131" s="92" t="s">
        <v>353</v>
      </c>
      <c r="G131" s="181"/>
      <c r="H131" s="182"/>
    </row>
    <row r="132" spans="1:8" s="5" customFormat="1">
      <c r="A132" s="91" t="s">
        <v>310</v>
      </c>
      <c r="B132" s="6">
        <v>5030</v>
      </c>
      <c r="C132" s="126" t="e">
        <f>(C65/C148)*100</f>
        <v>#VALUE!</v>
      </c>
      <c r="D132" s="126" t="e">
        <f>(D65/D148)*100</f>
        <v>#DIV/0!</v>
      </c>
      <c r="E132" s="92" t="s">
        <v>353</v>
      </c>
      <c r="F132" s="92" t="s">
        <v>353</v>
      </c>
      <c r="G132" s="181"/>
      <c r="H132" s="182"/>
    </row>
    <row r="133" spans="1:8" s="5" customFormat="1">
      <c r="A133" s="135" t="s">
        <v>153</v>
      </c>
      <c r="B133" s="136">
        <v>5110</v>
      </c>
      <c r="C133" s="171" t="e">
        <f>C148/C145</f>
        <v>#DIV/0!</v>
      </c>
      <c r="D133" s="171" t="e">
        <f>D148/D145</f>
        <v>#DIV/0!</v>
      </c>
      <c r="E133" s="92" t="s">
        <v>353</v>
      </c>
      <c r="F133" s="92" t="s">
        <v>353</v>
      </c>
      <c r="G133" s="181"/>
      <c r="H133" s="182"/>
    </row>
    <row r="134" spans="1:8" s="5" customFormat="1" ht="21.75" customHeight="1" thickBot="1">
      <c r="A134" s="178" t="s">
        <v>311</v>
      </c>
      <c r="B134" s="179">
        <v>5220</v>
      </c>
      <c r="C134" s="180" t="e">
        <f>C139/C138</f>
        <v>#DIV/0!</v>
      </c>
      <c r="D134" s="180" t="e">
        <f>D139/D138</f>
        <v>#DIV/0!</v>
      </c>
      <c r="E134" s="92" t="s">
        <v>353</v>
      </c>
      <c r="F134" s="92" t="s">
        <v>353</v>
      </c>
      <c r="G134" s="183"/>
      <c r="H134" s="184"/>
    </row>
    <row r="135" spans="1:8" s="5" customFormat="1" ht="19.5" thickBot="1">
      <c r="A135" s="355" t="s">
        <v>278</v>
      </c>
      <c r="B135" s="356"/>
      <c r="C135" s="356"/>
      <c r="D135" s="356"/>
      <c r="E135" s="356"/>
      <c r="F135" s="356"/>
      <c r="G135" s="356"/>
      <c r="H135" s="357"/>
    </row>
    <row r="136" spans="1:8" s="5" customFormat="1" ht="20.100000000000001" customHeight="1">
      <c r="A136" s="133" t="s">
        <v>301</v>
      </c>
      <c r="B136" s="134">
        <v>6000</v>
      </c>
      <c r="C136" s="123"/>
      <c r="D136" s="123"/>
      <c r="E136" s="92" t="s">
        <v>353</v>
      </c>
      <c r="F136" s="92" t="s">
        <v>353</v>
      </c>
      <c r="G136" s="117">
        <f>D136-C136</f>
        <v>0</v>
      </c>
      <c r="H136" s="163" t="e">
        <f>(D136/C136)*100</f>
        <v>#DIV/0!</v>
      </c>
    </row>
    <row r="137" spans="1:8" s="5" customFormat="1" ht="20.100000000000001" customHeight="1">
      <c r="A137" s="133" t="s">
        <v>302</v>
      </c>
      <c r="B137" s="134">
        <v>6001</v>
      </c>
      <c r="C137" s="155">
        <f>C138-C139</f>
        <v>0</v>
      </c>
      <c r="D137" s="155">
        <f>D138-D139</f>
        <v>0</v>
      </c>
      <c r="E137" s="92" t="s">
        <v>353</v>
      </c>
      <c r="F137" s="92" t="s">
        <v>353</v>
      </c>
      <c r="G137" s="117">
        <f t="shared" ref="G137:G148" si="10">D137-C137</f>
        <v>0</v>
      </c>
      <c r="H137" s="163" t="e">
        <f t="shared" ref="H137:H148" si="11">(D137/C137)*100</f>
        <v>#DIV/0!</v>
      </c>
    </row>
    <row r="138" spans="1:8" s="5" customFormat="1" ht="20.100000000000001" customHeight="1">
      <c r="A138" s="133" t="s">
        <v>303</v>
      </c>
      <c r="B138" s="134">
        <v>6002</v>
      </c>
      <c r="C138" s="123"/>
      <c r="D138" s="123"/>
      <c r="E138" s="92" t="s">
        <v>353</v>
      </c>
      <c r="F138" s="92" t="s">
        <v>353</v>
      </c>
      <c r="G138" s="117">
        <f t="shared" si="10"/>
        <v>0</v>
      </c>
      <c r="H138" s="163" t="e">
        <f t="shared" si="11"/>
        <v>#DIV/0!</v>
      </c>
    </row>
    <row r="139" spans="1:8" s="5" customFormat="1" ht="20.100000000000001" customHeight="1">
      <c r="A139" s="133" t="s">
        <v>304</v>
      </c>
      <c r="B139" s="134">
        <v>6003</v>
      </c>
      <c r="C139" s="123"/>
      <c r="D139" s="123"/>
      <c r="E139" s="92" t="s">
        <v>353</v>
      </c>
      <c r="F139" s="92" t="s">
        <v>353</v>
      </c>
      <c r="G139" s="117">
        <f t="shared" si="10"/>
        <v>0</v>
      </c>
      <c r="H139" s="163" t="e">
        <f t="shared" si="11"/>
        <v>#DIV/0!</v>
      </c>
    </row>
    <row r="140" spans="1:8" s="5" customFormat="1" ht="20.100000000000001" customHeight="1">
      <c r="A140" s="91" t="s">
        <v>305</v>
      </c>
      <c r="B140" s="6">
        <v>6010</v>
      </c>
      <c r="C140" s="123"/>
      <c r="D140" s="123"/>
      <c r="E140" s="92" t="s">
        <v>353</v>
      </c>
      <c r="F140" s="92" t="s">
        <v>353</v>
      </c>
      <c r="G140" s="117">
        <f t="shared" si="10"/>
        <v>0</v>
      </c>
      <c r="H140" s="163" t="e">
        <f t="shared" si="11"/>
        <v>#DIV/0!</v>
      </c>
    </row>
    <row r="141" spans="1:8" s="5" customFormat="1">
      <c r="A141" s="91" t="s">
        <v>306</v>
      </c>
      <c r="B141" s="6">
        <v>6011</v>
      </c>
      <c r="C141" s="123"/>
      <c r="D141" s="123"/>
      <c r="E141" s="92" t="s">
        <v>353</v>
      </c>
      <c r="F141" s="92" t="s">
        <v>353</v>
      </c>
      <c r="G141" s="117">
        <f t="shared" si="10"/>
        <v>0</v>
      </c>
      <c r="H141" s="163" t="e">
        <f t="shared" si="11"/>
        <v>#DIV/0!</v>
      </c>
    </row>
    <row r="142" spans="1:8" s="5" customFormat="1" ht="20.100000000000001" customHeight="1">
      <c r="A142" s="90" t="s">
        <v>180</v>
      </c>
      <c r="B142" s="151">
        <v>6020</v>
      </c>
      <c r="C142" s="139"/>
      <c r="D142" s="139"/>
      <c r="E142" s="201" t="s">
        <v>353</v>
      </c>
      <c r="F142" s="201" t="s">
        <v>353</v>
      </c>
      <c r="G142" s="125">
        <f t="shared" si="10"/>
        <v>0</v>
      </c>
      <c r="H142" s="164" t="e">
        <f t="shared" si="11"/>
        <v>#DIV/0!</v>
      </c>
    </row>
    <row r="143" spans="1:8" s="5" customFormat="1" ht="20.100000000000001" customHeight="1">
      <c r="A143" s="91" t="s">
        <v>124</v>
      </c>
      <c r="B143" s="6">
        <v>6030</v>
      </c>
      <c r="C143" s="123"/>
      <c r="D143" s="123"/>
      <c r="E143" s="92" t="s">
        <v>353</v>
      </c>
      <c r="F143" s="92" t="s">
        <v>353</v>
      </c>
      <c r="G143" s="117">
        <f t="shared" si="10"/>
        <v>0</v>
      </c>
      <c r="H143" s="163" t="e">
        <f t="shared" si="11"/>
        <v>#DIV/0!</v>
      </c>
    </row>
    <row r="144" spans="1:8" s="5" customFormat="1" ht="20.100000000000001" customHeight="1">
      <c r="A144" s="91" t="s">
        <v>125</v>
      </c>
      <c r="B144" s="6">
        <v>6040</v>
      </c>
      <c r="C144" s="123"/>
      <c r="D144" s="123"/>
      <c r="E144" s="92" t="s">
        <v>353</v>
      </c>
      <c r="F144" s="92" t="s">
        <v>353</v>
      </c>
      <c r="G144" s="117">
        <f t="shared" si="10"/>
        <v>0</v>
      </c>
      <c r="H144" s="163" t="e">
        <f t="shared" si="11"/>
        <v>#DIV/0!</v>
      </c>
    </row>
    <row r="145" spans="1:8" s="5" customFormat="1" ht="20.100000000000001" customHeight="1">
      <c r="A145" s="90" t="s">
        <v>181</v>
      </c>
      <c r="B145" s="151">
        <v>6050</v>
      </c>
      <c r="C145" s="158">
        <f>SUM(C143:C144)</f>
        <v>0</v>
      </c>
      <c r="D145" s="158">
        <f>SUM(D143:D144)</f>
        <v>0</v>
      </c>
      <c r="E145" s="201" t="s">
        <v>353</v>
      </c>
      <c r="F145" s="201" t="s">
        <v>353</v>
      </c>
      <c r="G145" s="125">
        <f t="shared" si="10"/>
        <v>0</v>
      </c>
      <c r="H145" s="164" t="e">
        <f t="shared" si="11"/>
        <v>#DIV/0!</v>
      </c>
    </row>
    <row r="146" spans="1:8" s="5" customFormat="1" ht="20.100000000000001" customHeight="1">
      <c r="A146" s="91" t="s">
        <v>359</v>
      </c>
      <c r="B146" s="6">
        <v>6060</v>
      </c>
      <c r="C146" s="123"/>
      <c r="D146" s="123"/>
      <c r="E146" s="92" t="s">
        <v>353</v>
      </c>
      <c r="F146" s="92" t="s">
        <v>353</v>
      </c>
      <c r="G146" s="117">
        <f t="shared" si="10"/>
        <v>0</v>
      </c>
      <c r="H146" s="163" t="e">
        <f t="shared" si="11"/>
        <v>#DIV/0!</v>
      </c>
    </row>
    <row r="147" spans="1:8" s="5" customFormat="1">
      <c r="A147" s="91" t="s">
        <v>360</v>
      </c>
      <c r="B147" s="6">
        <v>6070</v>
      </c>
      <c r="C147" s="123"/>
      <c r="D147" s="123"/>
      <c r="E147" s="92" t="s">
        <v>353</v>
      </c>
      <c r="F147" s="92" t="s">
        <v>353</v>
      </c>
      <c r="G147" s="117">
        <f t="shared" si="10"/>
        <v>0</v>
      </c>
      <c r="H147" s="163" t="e">
        <f t="shared" si="11"/>
        <v>#DIV/0!</v>
      </c>
    </row>
    <row r="148" spans="1:8" s="5" customFormat="1" ht="20.100000000000001" customHeight="1" thickBot="1">
      <c r="A148" s="90" t="s">
        <v>118</v>
      </c>
      <c r="B148" s="151">
        <v>6080</v>
      </c>
      <c r="C148" s="139"/>
      <c r="D148" s="139"/>
      <c r="E148" s="201" t="s">
        <v>353</v>
      </c>
      <c r="F148" s="201" t="s">
        <v>353</v>
      </c>
      <c r="G148" s="125">
        <f t="shared" si="10"/>
        <v>0</v>
      </c>
      <c r="H148" s="164" t="e">
        <f t="shared" si="11"/>
        <v>#DIV/0!</v>
      </c>
    </row>
    <row r="149" spans="1:8" s="5" customFormat="1" ht="19.5" thickBot="1">
      <c r="A149" s="364" t="s">
        <v>279</v>
      </c>
      <c r="B149" s="365"/>
      <c r="C149" s="365"/>
      <c r="D149" s="365"/>
      <c r="E149" s="365"/>
      <c r="F149" s="365"/>
      <c r="G149" s="365"/>
      <c r="H149" s="366"/>
    </row>
    <row r="150" spans="1:8" s="5" customFormat="1" ht="20.100000000000001" customHeight="1">
      <c r="A150" s="129" t="s">
        <v>330</v>
      </c>
      <c r="B150" s="202" t="s">
        <v>280</v>
      </c>
      <c r="C150" s="131">
        <f>SUM(C151:C153)</f>
        <v>0</v>
      </c>
      <c r="D150" s="131">
        <f>SUM(D151:D153)</f>
        <v>0</v>
      </c>
      <c r="E150" s="131">
        <f>SUM(E151:E153)</f>
        <v>0</v>
      </c>
      <c r="F150" s="131">
        <f>SUM(F151:F153)</f>
        <v>0</v>
      </c>
      <c r="G150" s="139">
        <f>F150-E150</f>
        <v>0</v>
      </c>
      <c r="H150" s="164" t="e">
        <f>(F150/E150)*100</f>
        <v>#DIV/0!</v>
      </c>
    </row>
    <row r="151" spans="1:8" s="5" customFormat="1" ht="20.100000000000001" customHeight="1">
      <c r="A151" s="91" t="s">
        <v>361</v>
      </c>
      <c r="B151" s="137" t="s">
        <v>282</v>
      </c>
      <c r="C151" s="117"/>
      <c r="D151" s="117"/>
      <c r="E151" s="123">
        <f>'6.1. Інша інфо_1'!F74</f>
        <v>0</v>
      </c>
      <c r="F151" s="123">
        <f>'6.1. Інша інфо_1'!H74</f>
        <v>0</v>
      </c>
      <c r="G151" s="123">
        <f t="shared" ref="G151:G157" si="12">F151-E151</f>
        <v>0</v>
      </c>
      <c r="H151" s="163" t="e">
        <f t="shared" ref="H151:H157" si="13">(F151/E151)*100</f>
        <v>#DIV/0!</v>
      </c>
    </row>
    <row r="152" spans="1:8" s="5" customFormat="1" ht="20.100000000000001" customHeight="1">
      <c r="A152" s="91" t="s">
        <v>362</v>
      </c>
      <c r="B152" s="137" t="s">
        <v>283</v>
      </c>
      <c r="C152" s="117"/>
      <c r="D152" s="117"/>
      <c r="E152" s="123">
        <f>'6.1. Інша інфо_1'!F77</f>
        <v>0</v>
      </c>
      <c r="F152" s="123">
        <f>'6.1. Інша інфо_1'!H77</f>
        <v>0</v>
      </c>
      <c r="G152" s="123">
        <f t="shared" si="12"/>
        <v>0</v>
      </c>
      <c r="H152" s="163" t="e">
        <f t="shared" si="13"/>
        <v>#DIV/0!</v>
      </c>
    </row>
    <row r="153" spans="1:8" s="5" customFormat="1" ht="20.100000000000001" customHeight="1">
      <c r="A153" s="91" t="s">
        <v>363</v>
      </c>
      <c r="B153" s="137" t="s">
        <v>284</v>
      </c>
      <c r="C153" s="117"/>
      <c r="D153" s="117"/>
      <c r="E153" s="123">
        <f>'6.1. Інша інфо_1'!F80</f>
        <v>0</v>
      </c>
      <c r="F153" s="123">
        <f>'6.1. Інша інфо_1'!H80</f>
        <v>0</v>
      </c>
      <c r="G153" s="123">
        <f t="shared" si="12"/>
        <v>0</v>
      </c>
      <c r="H153" s="163" t="e">
        <f t="shared" si="13"/>
        <v>#DIV/0!</v>
      </c>
    </row>
    <row r="154" spans="1:8" s="5" customFormat="1" ht="20.100000000000001" customHeight="1">
      <c r="A154" s="90" t="s">
        <v>331</v>
      </c>
      <c r="B154" s="203" t="s">
        <v>281</v>
      </c>
      <c r="C154" s="124">
        <f>SUM(C155:C157)</f>
        <v>0</v>
      </c>
      <c r="D154" s="124">
        <f>SUM(D155:D157)</f>
        <v>0</v>
      </c>
      <c r="E154" s="124">
        <f>SUM(E155:E157)</f>
        <v>0</v>
      </c>
      <c r="F154" s="124">
        <f>SUM(F155:F157)</f>
        <v>0</v>
      </c>
      <c r="G154" s="139">
        <f t="shared" si="12"/>
        <v>0</v>
      </c>
      <c r="H154" s="164" t="e">
        <f t="shared" si="13"/>
        <v>#DIV/0!</v>
      </c>
    </row>
    <row r="155" spans="1:8" s="5" customFormat="1" ht="20.100000000000001" customHeight="1">
      <c r="A155" s="91" t="s">
        <v>361</v>
      </c>
      <c r="B155" s="137" t="s">
        <v>285</v>
      </c>
      <c r="C155" s="190"/>
      <c r="D155" s="190"/>
      <c r="E155" s="123">
        <f>'6.1. Інша інфо_1'!J74</f>
        <v>0</v>
      </c>
      <c r="F155" s="123">
        <f>'6.1. Інша інфо_1'!L74</f>
        <v>0</v>
      </c>
      <c r="G155" s="123">
        <f t="shared" si="12"/>
        <v>0</v>
      </c>
      <c r="H155" s="163" t="e">
        <f t="shared" si="13"/>
        <v>#DIV/0!</v>
      </c>
    </row>
    <row r="156" spans="1:8" s="5" customFormat="1" ht="20.100000000000001" customHeight="1">
      <c r="A156" s="91" t="s">
        <v>362</v>
      </c>
      <c r="B156" s="137" t="s">
        <v>286</v>
      </c>
      <c r="C156" s="190"/>
      <c r="D156" s="190"/>
      <c r="E156" s="123">
        <f>'6.1. Інша інфо_1'!J77</f>
        <v>0</v>
      </c>
      <c r="F156" s="123">
        <f>'6.1. Інша інфо_1'!L77</f>
        <v>0</v>
      </c>
      <c r="G156" s="123">
        <f t="shared" si="12"/>
        <v>0</v>
      </c>
      <c r="H156" s="163" t="e">
        <f t="shared" si="13"/>
        <v>#DIV/0!</v>
      </c>
    </row>
    <row r="157" spans="1:8" s="5" customFormat="1" ht="20.100000000000001" customHeight="1" thickBot="1">
      <c r="A157" s="135" t="s">
        <v>363</v>
      </c>
      <c r="B157" s="138" t="s">
        <v>287</v>
      </c>
      <c r="C157" s="190"/>
      <c r="D157" s="190"/>
      <c r="E157" s="123">
        <f>'6.1. Інша інфо_1'!J80</f>
        <v>0</v>
      </c>
      <c r="F157" s="123">
        <f>'6.1. Інша інфо_1'!L80</f>
        <v>0</v>
      </c>
      <c r="G157" s="123">
        <f t="shared" si="12"/>
        <v>0</v>
      </c>
      <c r="H157" s="163" t="e">
        <f t="shared" si="13"/>
        <v>#DIV/0!</v>
      </c>
    </row>
    <row r="158" spans="1:8" s="5" customFormat="1" ht="19.5" thickBot="1">
      <c r="A158" s="355" t="s">
        <v>288</v>
      </c>
      <c r="B158" s="356"/>
      <c r="C158" s="356"/>
      <c r="D158" s="356"/>
      <c r="E158" s="356"/>
      <c r="F158" s="356"/>
      <c r="G158" s="356"/>
      <c r="H158" s="357"/>
    </row>
    <row r="159" spans="1:8" s="5" customFormat="1" ht="60.75" customHeight="1">
      <c r="A159" s="205" t="s">
        <v>456</v>
      </c>
      <c r="B159" s="203" t="s">
        <v>289</v>
      </c>
      <c r="C159" s="124">
        <f>SUM(C160:C164)</f>
        <v>0</v>
      </c>
      <c r="D159" s="124">
        <f>SUM(D160:D164)</f>
        <v>0</v>
      </c>
      <c r="E159" s="124">
        <f>SUM(E160:E164)</f>
        <v>495</v>
      </c>
      <c r="F159" s="124">
        <f>SUM(F160:F164)</f>
        <v>486</v>
      </c>
      <c r="G159" s="223">
        <f>F159-E159</f>
        <v>-9</v>
      </c>
      <c r="H159" s="262">
        <f>(F159/E159)*100</f>
        <v>98.181818181818187</v>
      </c>
    </row>
    <row r="160" spans="1:8" s="5" customFormat="1" ht="18.75" customHeight="1">
      <c r="A160" s="91" t="s">
        <v>405</v>
      </c>
      <c r="B160" s="137" t="s">
        <v>290</v>
      </c>
      <c r="C160" s="206"/>
      <c r="D160" s="206"/>
      <c r="E160" s="127">
        <f>'6.1. Інша інфо_1'!F12</f>
        <v>0</v>
      </c>
      <c r="F160" s="127">
        <f>'6.1. Інша інфо_1'!I12</f>
        <v>0</v>
      </c>
      <c r="G160" s="210">
        <f t="shared" ref="G160:G168" si="14">F160-E160</f>
        <v>0</v>
      </c>
      <c r="H160" s="261" t="e">
        <f t="shared" ref="H160:H168" si="15">(F160/E160)*100</f>
        <v>#DIV/0!</v>
      </c>
    </row>
    <row r="161" spans="1:9" s="5" customFormat="1" ht="18.75" customHeight="1">
      <c r="A161" s="91" t="s">
        <v>414</v>
      </c>
      <c r="B161" s="137" t="s">
        <v>291</v>
      </c>
      <c r="C161" s="206"/>
      <c r="D161" s="206"/>
      <c r="E161" s="127">
        <f>'6.1. Інша інфо_1'!F13</f>
        <v>0</v>
      </c>
      <c r="F161" s="127">
        <f>'6.1. Інша інфо_1'!I13</f>
        <v>0</v>
      </c>
      <c r="G161" s="210">
        <f t="shared" si="14"/>
        <v>0</v>
      </c>
      <c r="H161" s="261" t="e">
        <f t="shared" si="15"/>
        <v>#DIV/0!</v>
      </c>
    </row>
    <row r="162" spans="1:9" s="5" customFormat="1">
      <c r="A162" s="8" t="s">
        <v>423</v>
      </c>
      <c r="B162" s="137" t="s">
        <v>292</v>
      </c>
      <c r="C162" s="206"/>
      <c r="D162" s="206"/>
      <c r="E162" s="127">
        <f>'6.1. Інша інфо_1'!F14</f>
        <v>1</v>
      </c>
      <c r="F162" s="127">
        <f>'6.1. Інша інфо_1'!I14</f>
        <v>1</v>
      </c>
      <c r="G162" s="210">
        <f t="shared" si="14"/>
        <v>0</v>
      </c>
      <c r="H162" s="261">
        <f t="shared" si="15"/>
        <v>100</v>
      </c>
    </row>
    <row r="163" spans="1:9" s="5" customFormat="1">
      <c r="A163" s="8" t="s">
        <v>192</v>
      </c>
      <c r="B163" s="137" t="s">
        <v>417</v>
      </c>
      <c r="C163" s="206"/>
      <c r="D163" s="206"/>
      <c r="E163" s="127">
        <f>'6.1. Інша інфо_1'!F15</f>
        <v>23</v>
      </c>
      <c r="F163" s="127">
        <f>'6.1. Інша інфо_1'!I15</f>
        <v>23</v>
      </c>
      <c r="G163" s="210">
        <f t="shared" si="14"/>
        <v>0</v>
      </c>
      <c r="H163" s="261">
        <f t="shared" si="15"/>
        <v>100</v>
      </c>
    </row>
    <row r="164" spans="1:9" s="5" customFormat="1">
      <c r="A164" s="8" t="s">
        <v>193</v>
      </c>
      <c r="B164" s="137" t="s">
        <v>418</v>
      </c>
      <c r="C164" s="206"/>
      <c r="D164" s="206"/>
      <c r="E164" s="127">
        <f>'6.1. Інша інфо_1'!F16</f>
        <v>471</v>
      </c>
      <c r="F164" s="127">
        <f>'6.1. Інша інфо_1'!I16</f>
        <v>462</v>
      </c>
      <c r="G164" s="210">
        <f>F164-E164</f>
        <v>-9</v>
      </c>
      <c r="H164" s="261">
        <f>(F164/E164)*100</f>
        <v>98.089171974522287</v>
      </c>
    </row>
    <row r="165" spans="1:9" s="5" customFormat="1" ht="20.100000000000001" customHeight="1">
      <c r="A165" s="90" t="s">
        <v>5</v>
      </c>
      <c r="B165" s="203" t="s">
        <v>293</v>
      </c>
      <c r="C165" s="207"/>
      <c r="D165" s="207"/>
      <c r="E165" s="211">
        <f>'I. Фін результат'!E110</f>
        <v>-11686</v>
      </c>
      <c r="F165" s="211">
        <f>'I. Фін результат'!F110</f>
        <v>-12409.1</v>
      </c>
      <c r="G165" s="220">
        <f>F165-E165</f>
        <v>-723.10000000000036</v>
      </c>
      <c r="H165" s="256">
        <f>(F165/E165)*100</f>
        <v>106.18774602087969</v>
      </c>
    </row>
    <row r="166" spans="1:9" s="5" customFormat="1" ht="37.5">
      <c r="A166" s="90" t="s">
        <v>434</v>
      </c>
      <c r="B166" s="203" t="s">
        <v>294</v>
      </c>
      <c r="C166" s="207"/>
      <c r="D166" s="207"/>
      <c r="E166" s="211">
        <f>'6.1. Інша інфо_1'!F29</f>
        <v>7869.3265993265986</v>
      </c>
      <c r="F166" s="211">
        <f>'6.1. Інша інфо_1'!I29</f>
        <v>8511.01646090535</v>
      </c>
      <c r="G166" s="220">
        <f>F166-E166</f>
        <v>641.68986157875133</v>
      </c>
      <c r="H166" s="256">
        <f>(F166/E166)*100</f>
        <v>108.15431731647361</v>
      </c>
    </row>
    <row r="167" spans="1:9" s="5" customFormat="1" ht="20.100000000000001" customHeight="1">
      <c r="A167" s="91" t="s">
        <v>421</v>
      </c>
      <c r="B167" s="137" t="s">
        <v>295</v>
      </c>
      <c r="C167" s="206"/>
      <c r="D167" s="206"/>
      <c r="E167" s="222" t="e">
        <f>'6.1. Інша інфо_1'!F30</f>
        <v>#DIV/0!</v>
      </c>
      <c r="F167" s="222" t="e">
        <f>'6.1. Інша інфо_1'!I30</f>
        <v>#DIV/0!</v>
      </c>
      <c r="G167" s="209" t="e">
        <f t="shared" si="14"/>
        <v>#DIV/0!</v>
      </c>
      <c r="H167" s="258" t="e">
        <f t="shared" si="15"/>
        <v>#DIV/0!</v>
      </c>
    </row>
    <row r="168" spans="1:9" s="5" customFormat="1" ht="20.100000000000001" customHeight="1">
      <c r="A168" s="91" t="s">
        <v>422</v>
      </c>
      <c r="B168" s="137" t="s">
        <v>296</v>
      </c>
      <c r="C168" s="206"/>
      <c r="D168" s="206"/>
      <c r="E168" s="222" t="e">
        <f>'6.1. Інша інфо_1'!F31</f>
        <v>#DIV/0!</v>
      </c>
      <c r="F168" s="222" t="e">
        <f>'6.1. Інша інфо_1'!I31</f>
        <v>#DIV/0!</v>
      </c>
      <c r="G168" s="209" t="e">
        <f t="shared" si="14"/>
        <v>#DIV/0!</v>
      </c>
      <c r="H168" s="258" t="e">
        <f t="shared" si="15"/>
        <v>#DIV/0!</v>
      </c>
    </row>
    <row r="169" spans="1:9" s="5" customFormat="1" ht="20.100000000000001" customHeight="1">
      <c r="A169" s="8" t="s">
        <v>423</v>
      </c>
      <c r="B169" s="137" t="s">
        <v>297</v>
      </c>
      <c r="C169" s="206"/>
      <c r="D169" s="206"/>
      <c r="E169" s="211">
        <f>'6.1. Інша інфо_1'!F32</f>
        <v>37283.333333333328</v>
      </c>
      <c r="F169" s="211">
        <f>'6.1. Інша інфо_1'!I32</f>
        <v>29154</v>
      </c>
      <c r="G169" s="209">
        <f>F169-E169</f>
        <v>-8129.3333333333285</v>
      </c>
      <c r="H169" s="258">
        <f>(F169/E169)*100</f>
        <v>78.195797943674577</v>
      </c>
    </row>
    <row r="170" spans="1:9" s="5" customFormat="1" ht="20.100000000000001" customHeight="1">
      <c r="A170" s="8" t="s">
        <v>425</v>
      </c>
      <c r="B170" s="137" t="s">
        <v>415</v>
      </c>
      <c r="C170" s="206"/>
      <c r="D170" s="206"/>
      <c r="E170" s="211">
        <f>'6.1. Інша інфо_1'!F36</f>
        <v>8269.927536231884</v>
      </c>
      <c r="F170" s="211">
        <f>'6.1. Інша інфо_1'!I36</f>
        <v>12117.391304347826</v>
      </c>
      <c r="G170" s="209">
        <f>F170-E170</f>
        <v>3847.463768115942</v>
      </c>
      <c r="H170" s="258">
        <f>(F170/E170)*100</f>
        <v>146.52354874041623</v>
      </c>
    </row>
    <row r="171" spans="1:9" s="5" customFormat="1" ht="20.100000000000001" customHeight="1">
      <c r="A171" s="8" t="s">
        <v>424</v>
      </c>
      <c r="B171" s="137" t="s">
        <v>416</v>
      </c>
      <c r="C171" s="206"/>
      <c r="D171" s="206"/>
      <c r="E171" s="211">
        <f>'6.1. Інша інфо_1'!F37</f>
        <v>7787.31422505308</v>
      </c>
      <c r="F171" s="211">
        <f>'6.1. Інша інфо_1'!I37</f>
        <v>8286.7965367965371</v>
      </c>
      <c r="G171" s="209">
        <f>F171-E171</f>
        <v>499.4823117434571</v>
      </c>
      <c r="H171" s="258">
        <f>(F171/E171)*100</f>
        <v>106.41405107471506</v>
      </c>
    </row>
    <row r="172" spans="1:9" s="5" customFormat="1" ht="20.100000000000001" customHeight="1">
      <c r="A172" s="28"/>
      <c r="B172" s="159"/>
      <c r="C172" s="160"/>
      <c r="D172" s="160"/>
      <c r="E172" s="161"/>
      <c r="F172" s="161"/>
      <c r="G172" s="161"/>
      <c r="H172" s="162"/>
    </row>
    <row r="173" spans="1:9" s="5" customFormat="1" ht="20.100000000000001" customHeight="1">
      <c r="A173" s="28"/>
      <c r="B173" s="159"/>
      <c r="C173" s="160"/>
      <c r="D173" s="160"/>
      <c r="E173" s="161"/>
      <c r="F173" s="161"/>
      <c r="G173" s="161"/>
      <c r="H173" s="162"/>
    </row>
    <row r="174" spans="1:9">
      <c r="A174" s="69"/>
    </row>
    <row r="175" spans="1:9">
      <c r="A175" s="45" t="s">
        <v>518</v>
      </c>
      <c r="B175" s="1"/>
      <c r="C175" s="369" t="s">
        <v>89</v>
      </c>
      <c r="D175" s="370"/>
      <c r="E175" s="370"/>
      <c r="F175" s="370"/>
      <c r="G175" s="368" t="s">
        <v>520</v>
      </c>
      <c r="H175" s="368"/>
    </row>
    <row r="176" spans="1:9" s="2" customFormat="1" ht="20.100000000000001" customHeight="1">
      <c r="A176" s="25" t="s">
        <v>68</v>
      </c>
      <c r="B176" s="3"/>
      <c r="C176" s="371" t="s">
        <v>69</v>
      </c>
      <c r="D176" s="371"/>
      <c r="E176" s="371"/>
      <c r="F176" s="371"/>
      <c r="G176" s="367" t="s">
        <v>85</v>
      </c>
      <c r="H176" s="367"/>
      <c r="I176" s="4"/>
    </row>
    <row r="177" spans="1:1">
      <c r="A177" s="69"/>
    </row>
    <row r="178" spans="1:1">
      <c r="A178" s="69"/>
    </row>
    <row r="179" spans="1:1">
      <c r="A179" s="69"/>
    </row>
    <row r="180" spans="1:1">
      <c r="A180" s="69"/>
    </row>
    <row r="181" spans="1:1">
      <c r="A181" s="69"/>
    </row>
    <row r="182" spans="1:1">
      <c r="A182" s="69"/>
    </row>
    <row r="183" spans="1:1">
      <c r="A183" s="69"/>
    </row>
    <row r="184" spans="1:1">
      <c r="A184" s="69"/>
    </row>
    <row r="185" spans="1:1">
      <c r="A185" s="69"/>
    </row>
    <row r="186" spans="1:1">
      <c r="A186" s="69"/>
    </row>
    <row r="187" spans="1:1">
      <c r="A187" s="69"/>
    </row>
    <row r="188" spans="1:1">
      <c r="A188" s="69"/>
    </row>
    <row r="189" spans="1:1">
      <c r="A189" s="69"/>
    </row>
    <row r="190" spans="1:1">
      <c r="A190" s="69"/>
    </row>
    <row r="191" spans="1:1">
      <c r="A191" s="69"/>
    </row>
    <row r="192" spans="1:1">
      <c r="A192" s="69"/>
    </row>
    <row r="193" spans="1:1">
      <c r="A193" s="69"/>
    </row>
    <row r="194" spans="1:1">
      <c r="A194" s="69"/>
    </row>
    <row r="195" spans="1:1">
      <c r="A195" s="69"/>
    </row>
    <row r="196" spans="1:1">
      <c r="A196" s="69"/>
    </row>
    <row r="197" spans="1:1">
      <c r="A197" s="69"/>
    </row>
    <row r="198" spans="1:1">
      <c r="A198" s="69"/>
    </row>
    <row r="199" spans="1:1">
      <c r="A199" s="69"/>
    </row>
    <row r="200" spans="1:1">
      <c r="A200" s="69"/>
    </row>
    <row r="201" spans="1:1">
      <c r="A201" s="69"/>
    </row>
    <row r="202" spans="1:1">
      <c r="A202" s="69"/>
    </row>
    <row r="203" spans="1:1">
      <c r="A203" s="69"/>
    </row>
    <row r="204" spans="1:1">
      <c r="A204" s="69"/>
    </row>
    <row r="205" spans="1:1">
      <c r="A205" s="69"/>
    </row>
    <row r="206" spans="1:1">
      <c r="A206" s="69"/>
    </row>
    <row r="207" spans="1:1">
      <c r="A207" s="69"/>
    </row>
    <row r="208" spans="1:1">
      <c r="A208" s="69"/>
    </row>
    <row r="209" spans="1:1">
      <c r="A209" s="69"/>
    </row>
    <row r="210" spans="1:1">
      <c r="A210" s="69"/>
    </row>
    <row r="211" spans="1:1">
      <c r="A211" s="69"/>
    </row>
    <row r="212" spans="1:1">
      <c r="A212" s="69"/>
    </row>
    <row r="213" spans="1:1">
      <c r="A213" s="69"/>
    </row>
    <row r="214" spans="1:1">
      <c r="A214" s="69"/>
    </row>
    <row r="215" spans="1:1">
      <c r="A215" s="69"/>
    </row>
    <row r="216" spans="1:1">
      <c r="A216" s="69"/>
    </row>
    <row r="217" spans="1:1">
      <c r="A217" s="69"/>
    </row>
    <row r="218" spans="1:1">
      <c r="A218" s="69"/>
    </row>
    <row r="219" spans="1:1">
      <c r="A219" s="69"/>
    </row>
    <row r="220" spans="1:1">
      <c r="A220" s="69"/>
    </row>
    <row r="221" spans="1:1">
      <c r="A221" s="69"/>
    </row>
    <row r="222" spans="1:1">
      <c r="A222" s="69"/>
    </row>
    <row r="223" spans="1:1">
      <c r="A223" s="69"/>
    </row>
    <row r="224" spans="1:1">
      <c r="A224" s="69"/>
    </row>
    <row r="225" spans="1:1">
      <c r="A225" s="69"/>
    </row>
    <row r="226" spans="1:1">
      <c r="A226" s="69"/>
    </row>
    <row r="227" spans="1:1">
      <c r="A227" s="69"/>
    </row>
    <row r="228" spans="1:1">
      <c r="A228" s="69"/>
    </row>
    <row r="229" spans="1:1">
      <c r="A229" s="69"/>
    </row>
    <row r="230" spans="1:1">
      <c r="A230" s="69"/>
    </row>
    <row r="231" spans="1:1">
      <c r="A231" s="69"/>
    </row>
    <row r="232" spans="1:1">
      <c r="A232" s="69"/>
    </row>
    <row r="233" spans="1:1">
      <c r="A233" s="69"/>
    </row>
    <row r="234" spans="1:1">
      <c r="A234" s="69"/>
    </row>
    <row r="235" spans="1:1">
      <c r="A235" s="69"/>
    </row>
    <row r="236" spans="1:1">
      <c r="A236" s="69"/>
    </row>
    <row r="237" spans="1:1">
      <c r="A237" s="69"/>
    </row>
    <row r="238" spans="1:1">
      <c r="A238" s="69"/>
    </row>
    <row r="239" spans="1:1">
      <c r="A239" s="69"/>
    </row>
    <row r="240" spans="1:1">
      <c r="A240" s="69"/>
    </row>
    <row r="241" spans="1:1">
      <c r="A241" s="69"/>
    </row>
    <row r="242" spans="1:1">
      <c r="A242" s="69"/>
    </row>
    <row r="243" spans="1:1">
      <c r="A243" s="69"/>
    </row>
    <row r="244" spans="1:1">
      <c r="A244" s="69"/>
    </row>
    <row r="245" spans="1:1">
      <c r="A245" s="69"/>
    </row>
    <row r="246" spans="1:1">
      <c r="A246" s="69"/>
    </row>
    <row r="247" spans="1:1">
      <c r="A247" s="69"/>
    </row>
    <row r="248" spans="1:1">
      <c r="A248" s="69"/>
    </row>
    <row r="249" spans="1:1">
      <c r="A249" s="69"/>
    </row>
    <row r="250" spans="1:1">
      <c r="A250" s="69"/>
    </row>
    <row r="251" spans="1:1">
      <c r="A251" s="69"/>
    </row>
    <row r="252" spans="1:1">
      <c r="A252" s="69"/>
    </row>
    <row r="253" spans="1:1">
      <c r="A253" s="69"/>
    </row>
    <row r="254" spans="1:1">
      <c r="A254" s="69"/>
    </row>
    <row r="255" spans="1:1">
      <c r="A255" s="69"/>
    </row>
    <row r="256" spans="1:1">
      <c r="A256" s="69"/>
    </row>
    <row r="257" spans="1:1">
      <c r="A257" s="69"/>
    </row>
    <row r="258" spans="1:1">
      <c r="A258" s="69"/>
    </row>
    <row r="259" spans="1:1">
      <c r="A259" s="69"/>
    </row>
    <row r="260" spans="1:1">
      <c r="A260" s="69"/>
    </row>
    <row r="261" spans="1:1">
      <c r="A261" s="69"/>
    </row>
    <row r="262" spans="1:1">
      <c r="A262" s="69"/>
    </row>
    <row r="263" spans="1:1">
      <c r="A263" s="69"/>
    </row>
    <row r="264" spans="1:1">
      <c r="A264" s="69"/>
    </row>
    <row r="265" spans="1:1">
      <c r="A265" s="69"/>
    </row>
    <row r="266" spans="1:1">
      <c r="A266" s="69"/>
    </row>
    <row r="267" spans="1:1">
      <c r="A267" s="69"/>
    </row>
    <row r="268" spans="1:1">
      <c r="A268" s="69"/>
    </row>
    <row r="269" spans="1:1">
      <c r="A269" s="69"/>
    </row>
    <row r="270" spans="1:1">
      <c r="A270" s="69"/>
    </row>
    <row r="271" spans="1:1">
      <c r="A271" s="69"/>
    </row>
    <row r="272" spans="1:1">
      <c r="A272" s="69"/>
    </row>
    <row r="273" spans="1:1">
      <c r="A273" s="69"/>
    </row>
    <row r="274" spans="1:1">
      <c r="A274" s="69"/>
    </row>
    <row r="275" spans="1:1">
      <c r="A275" s="69"/>
    </row>
    <row r="276" spans="1:1">
      <c r="A276" s="69"/>
    </row>
    <row r="277" spans="1:1">
      <c r="A277" s="69"/>
    </row>
    <row r="278" spans="1:1">
      <c r="A278" s="69"/>
    </row>
    <row r="279" spans="1:1">
      <c r="A279" s="69"/>
    </row>
    <row r="280" spans="1:1">
      <c r="A280" s="69"/>
    </row>
    <row r="281" spans="1:1">
      <c r="A281" s="69"/>
    </row>
    <row r="282" spans="1:1">
      <c r="A282" s="69"/>
    </row>
    <row r="283" spans="1:1">
      <c r="A283" s="69"/>
    </row>
    <row r="284" spans="1:1">
      <c r="A284" s="69"/>
    </row>
    <row r="285" spans="1:1">
      <c r="A285" s="69"/>
    </row>
    <row r="286" spans="1:1">
      <c r="A286" s="69"/>
    </row>
    <row r="287" spans="1:1">
      <c r="A287" s="69"/>
    </row>
    <row r="288" spans="1:1">
      <c r="A288" s="69"/>
    </row>
    <row r="289" spans="1:1">
      <c r="A289" s="69"/>
    </row>
    <row r="290" spans="1:1">
      <c r="A290" s="69"/>
    </row>
    <row r="291" spans="1:1">
      <c r="A291" s="69"/>
    </row>
    <row r="292" spans="1:1">
      <c r="A292" s="69"/>
    </row>
    <row r="293" spans="1:1">
      <c r="A293" s="69"/>
    </row>
    <row r="294" spans="1:1">
      <c r="A294" s="69"/>
    </row>
    <row r="295" spans="1:1">
      <c r="A295" s="69"/>
    </row>
    <row r="296" spans="1:1">
      <c r="A296" s="69"/>
    </row>
    <row r="297" spans="1:1">
      <c r="A297" s="69"/>
    </row>
    <row r="298" spans="1:1">
      <c r="A298" s="69"/>
    </row>
    <row r="299" spans="1:1">
      <c r="A299" s="69"/>
    </row>
    <row r="300" spans="1:1">
      <c r="A300" s="69"/>
    </row>
    <row r="301" spans="1:1">
      <c r="A301" s="69"/>
    </row>
    <row r="302" spans="1:1">
      <c r="A302" s="69"/>
    </row>
    <row r="303" spans="1:1">
      <c r="A303" s="69"/>
    </row>
    <row r="304" spans="1:1">
      <c r="A304" s="69"/>
    </row>
    <row r="305" spans="1:1">
      <c r="A305" s="69"/>
    </row>
    <row r="306" spans="1:1">
      <c r="A306" s="69"/>
    </row>
    <row r="307" spans="1:1">
      <c r="A307" s="69"/>
    </row>
    <row r="308" spans="1:1">
      <c r="A308" s="69"/>
    </row>
    <row r="309" spans="1:1">
      <c r="A309" s="69"/>
    </row>
    <row r="310" spans="1:1">
      <c r="A310" s="69"/>
    </row>
    <row r="311" spans="1:1">
      <c r="A311" s="69"/>
    </row>
    <row r="312" spans="1:1">
      <c r="A312" s="69"/>
    </row>
    <row r="313" spans="1:1">
      <c r="A313" s="69"/>
    </row>
    <row r="314" spans="1:1">
      <c r="A314" s="69"/>
    </row>
    <row r="315" spans="1:1">
      <c r="A315" s="69"/>
    </row>
    <row r="316" spans="1:1">
      <c r="A316" s="69"/>
    </row>
    <row r="317" spans="1:1">
      <c r="A317" s="69"/>
    </row>
    <row r="318" spans="1:1">
      <c r="A318" s="69"/>
    </row>
    <row r="319" spans="1:1">
      <c r="A319" s="69"/>
    </row>
    <row r="320" spans="1:1">
      <c r="A320" s="69"/>
    </row>
    <row r="321" spans="1:1">
      <c r="A321" s="69"/>
    </row>
    <row r="322" spans="1:1">
      <c r="A322" s="69"/>
    </row>
    <row r="323" spans="1:1">
      <c r="A323" s="69"/>
    </row>
    <row r="324" spans="1:1">
      <c r="A324" s="69"/>
    </row>
    <row r="325" spans="1:1">
      <c r="A325" s="69"/>
    </row>
    <row r="326" spans="1:1">
      <c r="A326" s="69"/>
    </row>
    <row r="327" spans="1:1">
      <c r="A327" s="69"/>
    </row>
    <row r="328" spans="1:1">
      <c r="A328" s="69"/>
    </row>
    <row r="329" spans="1:1">
      <c r="A329" s="69"/>
    </row>
    <row r="330" spans="1:1">
      <c r="A330" s="69"/>
    </row>
    <row r="331" spans="1:1">
      <c r="A331" s="69"/>
    </row>
    <row r="332" spans="1:1">
      <c r="A332" s="69"/>
    </row>
    <row r="333" spans="1:1">
      <c r="A333" s="69"/>
    </row>
    <row r="334" spans="1:1">
      <c r="A334" s="69"/>
    </row>
    <row r="335" spans="1:1">
      <c r="A335" s="53"/>
    </row>
    <row r="336" spans="1:1">
      <c r="A336" s="53"/>
    </row>
    <row r="337" spans="1:1">
      <c r="A337" s="53"/>
    </row>
    <row r="338" spans="1:1">
      <c r="A338" s="53"/>
    </row>
    <row r="339" spans="1:1">
      <c r="A339" s="53"/>
    </row>
    <row r="340" spans="1:1">
      <c r="A340" s="53"/>
    </row>
    <row r="341" spans="1:1">
      <c r="A341" s="53"/>
    </row>
    <row r="342" spans="1:1">
      <c r="A342" s="53"/>
    </row>
    <row r="343" spans="1:1">
      <c r="A343" s="53"/>
    </row>
    <row r="344" spans="1:1">
      <c r="A344" s="53"/>
    </row>
    <row r="345" spans="1:1">
      <c r="A345" s="53"/>
    </row>
    <row r="346" spans="1:1">
      <c r="A346" s="53"/>
    </row>
    <row r="347" spans="1:1">
      <c r="A347" s="53"/>
    </row>
    <row r="348" spans="1:1">
      <c r="A348" s="53"/>
    </row>
    <row r="349" spans="1:1">
      <c r="A349" s="53"/>
    </row>
    <row r="350" spans="1:1">
      <c r="A350" s="53"/>
    </row>
    <row r="351" spans="1:1">
      <c r="A351" s="53"/>
    </row>
    <row r="352" spans="1:1">
      <c r="A352" s="53"/>
    </row>
    <row r="353" spans="1:1">
      <c r="A353" s="53"/>
    </row>
    <row r="354" spans="1:1">
      <c r="A354" s="53"/>
    </row>
    <row r="355" spans="1:1">
      <c r="A355" s="53"/>
    </row>
    <row r="356" spans="1:1">
      <c r="A356" s="53"/>
    </row>
    <row r="357" spans="1:1">
      <c r="A357" s="53"/>
    </row>
    <row r="358" spans="1:1">
      <c r="A358" s="53"/>
    </row>
    <row r="359" spans="1:1">
      <c r="A359" s="53"/>
    </row>
    <row r="360" spans="1:1">
      <c r="A360" s="53"/>
    </row>
    <row r="361" spans="1:1">
      <c r="A361" s="53"/>
    </row>
    <row r="362" spans="1:1">
      <c r="A362" s="53"/>
    </row>
    <row r="363" spans="1:1">
      <c r="A363" s="53"/>
    </row>
    <row r="364" spans="1:1">
      <c r="A364" s="53"/>
    </row>
    <row r="365" spans="1:1">
      <c r="A365" s="53"/>
    </row>
    <row r="366" spans="1:1">
      <c r="A366" s="53"/>
    </row>
    <row r="367" spans="1:1">
      <c r="A367" s="53"/>
    </row>
    <row r="368" spans="1:1">
      <c r="A368" s="53"/>
    </row>
    <row r="369" spans="1:1">
      <c r="A369" s="53"/>
    </row>
    <row r="370" spans="1:1">
      <c r="A370" s="53"/>
    </row>
    <row r="371" spans="1:1">
      <c r="A371" s="53"/>
    </row>
    <row r="372" spans="1:1">
      <c r="A372" s="53"/>
    </row>
    <row r="373" spans="1:1">
      <c r="A373" s="53"/>
    </row>
    <row r="374" spans="1:1">
      <c r="A374" s="53"/>
    </row>
    <row r="375" spans="1:1">
      <c r="A375" s="53"/>
    </row>
    <row r="376" spans="1:1">
      <c r="A376" s="53"/>
    </row>
    <row r="377" spans="1:1">
      <c r="A377" s="53"/>
    </row>
    <row r="378" spans="1:1">
      <c r="A378" s="53"/>
    </row>
    <row r="379" spans="1:1">
      <c r="A379" s="53"/>
    </row>
    <row r="380" spans="1:1">
      <c r="A380" s="53"/>
    </row>
    <row r="381" spans="1:1">
      <c r="A381" s="53"/>
    </row>
    <row r="382" spans="1:1">
      <c r="A382" s="53"/>
    </row>
    <row r="383" spans="1:1">
      <c r="A383" s="53"/>
    </row>
    <row r="384" spans="1:1">
      <c r="A384" s="53"/>
    </row>
    <row r="385" spans="1:1">
      <c r="A385" s="53"/>
    </row>
    <row r="386" spans="1:1">
      <c r="A386" s="53"/>
    </row>
    <row r="387" spans="1:1">
      <c r="A387" s="53"/>
    </row>
    <row r="388" spans="1:1">
      <c r="A388" s="53"/>
    </row>
    <row r="389" spans="1:1">
      <c r="A389" s="53"/>
    </row>
    <row r="390" spans="1:1">
      <c r="A390" s="53"/>
    </row>
    <row r="391" spans="1:1">
      <c r="A391" s="53"/>
    </row>
    <row r="392" spans="1:1">
      <c r="A392" s="53"/>
    </row>
    <row r="393" spans="1:1">
      <c r="A393" s="53"/>
    </row>
    <row r="394" spans="1:1">
      <c r="A394" s="53"/>
    </row>
    <row r="395" spans="1:1">
      <c r="A395" s="53"/>
    </row>
    <row r="396" spans="1:1">
      <c r="A396" s="53"/>
    </row>
    <row r="397" spans="1:1">
      <c r="A397" s="53"/>
    </row>
    <row r="398" spans="1:1">
      <c r="A398" s="53"/>
    </row>
    <row r="399" spans="1:1">
      <c r="A399" s="53"/>
    </row>
    <row r="400" spans="1:1">
      <c r="A400" s="53"/>
    </row>
    <row r="401" spans="1:1">
      <c r="A401" s="53"/>
    </row>
    <row r="402" spans="1:1">
      <c r="A402" s="53"/>
    </row>
    <row r="403" spans="1:1">
      <c r="A403" s="53"/>
    </row>
    <row r="404" spans="1:1">
      <c r="A404" s="53"/>
    </row>
    <row r="405" spans="1:1">
      <c r="A405" s="53"/>
    </row>
    <row r="406" spans="1:1">
      <c r="A406" s="53"/>
    </row>
    <row r="407" spans="1:1">
      <c r="A407" s="53"/>
    </row>
    <row r="408" spans="1:1">
      <c r="A408" s="53"/>
    </row>
    <row r="409" spans="1:1">
      <c r="A409" s="53"/>
    </row>
    <row r="410" spans="1:1">
      <c r="A410" s="53"/>
    </row>
    <row r="411" spans="1:1">
      <c r="A411" s="53"/>
    </row>
    <row r="412" spans="1:1">
      <c r="A412" s="53"/>
    </row>
    <row r="413" spans="1:1">
      <c r="A413" s="53"/>
    </row>
    <row r="414" spans="1:1">
      <c r="A414" s="53"/>
    </row>
    <row r="415" spans="1:1">
      <c r="A415" s="53"/>
    </row>
    <row r="416" spans="1:1">
      <c r="A416" s="53"/>
    </row>
    <row r="417" spans="1:1">
      <c r="A417" s="53"/>
    </row>
    <row r="418" spans="1:1">
      <c r="A418" s="53"/>
    </row>
    <row r="419" spans="1:1">
      <c r="A419" s="53"/>
    </row>
    <row r="420" spans="1:1">
      <c r="A420" s="53"/>
    </row>
    <row r="421" spans="1:1">
      <c r="A421" s="53"/>
    </row>
    <row r="422" spans="1:1">
      <c r="A422" s="53"/>
    </row>
    <row r="423" spans="1:1">
      <c r="A423" s="53"/>
    </row>
    <row r="424" spans="1:1">
      <c r="A424" s="53"/>
    </row>
    <row r="425" spans="1:1">
      <c r="A425" s="53"/>
    </row>
    <row r="426" spans="1:1">
      <c r="A426" s="53"/>
    </row>
    <row r="427" spans="1:1">
      <c r="A427" s="53"/>
    </row>
    <row r="428" spans="1:1">
      <c r="A428" s="53"/>
    </row>
    <row r="429" spans="1:1">
      <c r="A429" s="53"/>
    </row>
    <row r="430" spans="1:1">
      <c r="A430" s="53"/>
    </row>
    <row r="431" spans="1:1">
      <c r="A431" s="53"/>
    </row>
    <row r="432" spans="1:1">
      <c r="A432" s="53"/>
    </row>
    <row r="433" spans="1:1">
      <c r="A433" s="53"/>
    </row>
    <row r="434" spans="1:1">
      <c r="A434" s="53"/>
    </row>
    <row r="435" spans="1:1">
      <c r="A435" s="53"/>
    </row>
    <row r="436" spans="1:1">
      <c r="A436" s="53"/>
    </row>
    <row r="437" spans="1:1">
      <c r="A437" s="53"/>
    </row>
    <row r="438" spans="1:1">
      <c r="A438" s="53"/>
    </row>
    <row r="439" spans="1:1">
      <c r="A439" s="53"/>
    </row>
    <row r="440" spans="1:1">
      <c r="A440" s="53"/>
    </row>
    <row r="441" spans="1:1">
      <c r="A441" s="53"/>
    </row>
    <row r="442" spans="1:1">
      <c r="A442" s="53"/>
    </row>
    <row r="443" spans="1:1">
      <c r="A443" s="53"/>
    </row>
    <row r="444" spans="1:1">
      <c r="A444" s="53"/>
    </row>
    <row r="445" spans="1:1">
      <c r="A445" s="53"/>
    </row>
    <row r="446" spans="1:1">
      <c r="A446" s="53"/>
    </row>
    <row r="447" spans="1:1">
      <c r="A447" s="53"/>
    </row>
    <row r="448" spans="1:1">
      <c r="A448" s="53"/>
    </row>
    <row r="449" spans="1:1">
      <c r="A449" s="53"/>
    </row>
    <row r="450" spans="1:1">
      <c r="A450" s="53"/>
    </row>
    <row r="451" spans="1:1">
      <c r="A451" s="53"/>
    </row>
    <row r="452" spans="1:1">
      <c r="A452" s="53"/>
    </row>
    <row r="453" spans="1:1">
      <c r="A453" s="53"/>
    </row>
    <row r="454" spans="1:1">
      <c r="A454" s="53"/>
    </row>
    <row r="455" spans="1:1">
      <c r="A455" s="53"/>
    </row>
    <row r="456" spans="1:1">
      <c r="A456" s="53"/>
    </row>
    <row r="457" spans="1:1">
      <c r="A457" s="53"/>
    </row>
    <row r="458" spans="1:1">
      <c r="A458" s="53"/>
    </row>
    <row r="459" spans="1:1">
      <c r="A459" s="53"/>
    </row>
    <row r="460" spans="1:1">
      <c r="A460" s="53"/>
    </row>
    <row r="461" spans="1:1">
      <c r="A461" s="53"/>
    </row>
    <row r="462" spans="1:1">
      <c r="A462" s="53"/>
    </row>
    <row r="463" spans="1:1">
      <c r="A463" s="53"/>
    </row>
    <row r="464" spans="1:1">
      <c r="A464" s="53"/>
    </row>
    <row r="465" spans="1:1">
      <c r="A465" s="53"/>
    </row>
    <row r="466" spans="1:1">
      <c r="A466" s="53"/>
    </row>
    <row r="467" spans="1:1">
      <c r="A467" s="53"/>
    </row>
    <row r="468" spans="1:1">
      <c r="A468" s="53"/>
    </row>
    <row r="469" spans="1:1">
      <c r="A469" s="53"/>
    </row>
    <row r="470" spans="1:1">
      <c r="A470" s="53"/>
    </row>
    <row r="471" spans="1:1">
      <c r="A471" s="53"/>
    </row>
    <row r="472" spans="1:1">
      <c r="A472" s="53"/>
    </row>
    <row r="473" spans="1:1">
      <c r="A473" s="53"/>
    </row>
    <row r="474" spans="1:1">
      <c r="A474" s="53"/>
    </row>
    <row r="475" spans="1:1">
      <c r="A475" s="53"/>
    </row>
    <row r="476" spans="1:1">
      <c r="A476" s="53"/>
    </row>
    <row r="477" spans="1:1">
      <c r="A477" s="53"/>
    </row>
    <row r="478" spans="1:1">
      <c r="A478" s="53"/>
    </row>
    <row r="479" spans="1:1">
      <c r="A479" s="53"/>
    </row>
    <row r="480" spans="1:1">
      <c r="A480" s="53"/>
    </row>
    <row r="481" spans="1:1">
      <c r="A481" s="53"/>
    </row>
    <row r="482" spans="1:1">
      <c r="A482" s="53"/>
    </row>
    <row r="483" spans="1:1">
      <c r="A483" s="53"/>
    </row>
    <row r="484" spans="1:1">
      <c r="A484" s="53"/>
    </row>
    <row r="485" spans="1:1">
      <c r="A485" s="53"/>
    </row>
    <row r="486" spans="1:1">
      <c r="A486" s="53"/>
    </row>
    <row r="487" spans="1:1">
      <c r="A487" s="53"/>
    </row>
    <row r="488" spans="1:1">
      <c r="A488" s="53"/>
    </row>
    <row r="489" spans="1:1">
      <c r="A489" s="53"/>
    </row>
    <row r="490" spans="1:1">
      <c r="A490" s="53"/>
    </row>
    <row r="491" spans="1:1">
      <c r="A491" s="53"/>
    </row>
    <row r="492" spans="1:1">
      <c r="A492" s="53"/>
    </row>
    <row r="493" spans="1:1">
      <c r="A493" s="53"/>
    </row>
    <row r="494" spans="1:1">
      <c r="A494" s="53"/>
    </row>
    <row r="495" spans="1:1">
      <c r="A495" s="53"/>
    </row>
    <row r="496" spans="1:1">
      <c r="A496" s="53"/>
    </row>
    <row r="497" spans="1:1">
      <c r="A497" s="53"/>
    </row>
    <row r="498" spans="1:1">
      <c r="A498" s="53"/>
    </row>
    <row r="499" spans="1:1">
      <c r="A499" s="53"/>
    </row>
    <row r="500" spans="1:1">
      <c r="A500" s="53"/>
    </row>
  </sheetData>
  <mergeCells count="42">
    <mergeCell ref="F1:H1"/>
    <mergeCell ref="F2:H2"/>
    <mergeCell ref="F3:H3"/>
    <mergeCell ref="F4:H4"/>
    <mergeCell ref="B13:E13"/>
    <mergeCell ref="B14:E14"/>
    <mergeCell ref="A94:H94"/>
    <mergeCell ref="A81:H81"/>
    <mergeCell ref="A23:H23"/>
    <mergeCell ref="A30:A31"/>
    <mergeCell ref="B17:E17"/>
    <mergeCell ref="B19:E19"/>
    <mergeCell ref="I10:K10"/>
    <mergeCell ref="A24:H24"/>
    <mergeCell ref="C30:D30"/>
    <mergeCell ref="B21:E21"/>
    <mergeCell ref="F17:G17"/>
    <mergeCell ref="B9:E9"/>
    <mergeCell ref="B11:E11"/>
    <mergeCell ref="B12:E12"/>
    <mergeCell ref="B15:E15"/>
    <mergeCell ref="B16:E16"/>
    <mergeCell ref="G176:H176"/>
    <mergeCell ref="G175:H175"/>
    <mergeCell ref="C175:F175"/>
    <mergeCell ref="C176:F176"/>
    <mergeCell ref="A149:H149"/>
    <mergeCell ref="A26:H26"/>
    <mergeCell ref="E30:H30"/>
    <mergeCell ref="A33:H33"/>
    <mergeCell ref="B30:B31"/>
    <mergeCell ref="A80:H80"/>
    <mergeCell ref="A135:H135"/>
    <mergeCell ref="B10:E10"/>
    <mergeCell ref="F16:G16"/>
    <mergeCell ref="B18:E18"/>
    <mergeCell ref="B20:E20"/>
    <mergeCell ref="A158:H158"/>
    <mergeCell ref="A129:H129"/>
    <mergeCell ref="A25:H25"/>
    <mergeCell ref="A108:H108"/>
    <mergeCell ref="A116:H116"/>
  </mergeCells>
  <phoneticPr fontId="3" type="noConversion"/>
  <pageMargins left="1.1811023622047245" right="0.39370078740157483" top="0.59055118110236227" bottom="0.59055118110236227" header="0.31496062992125984" footer="0.19685039370078741"/>
  <pageSetup paperSize="9" scale="47" orientation="landscape" verticalDpi="300" r:id="rId1"/>
  <headerFooter alignWithMargins="0">
    <oddHeader>&amp;C
&amp;"Times New Roman,обычный"&amp;14 &amp;P&amp;R&amp;"Times New Roman,обычный"&amp;14Продовження додатка 3</oddHeader>
  </headerFooter>
  <rowBreaks count="3" manualBreakCount="3">
    <brk id="51" max="7" man="1"/>
    <brk id="93" max="7" man="1"/>
    <brk id="134" max="7" man="1"/>
  </rowBreaks>
  <ignoredErrors>
    <ignoredError sqref="G109 H82 H95 H109 H150 C51 H136 C134 C50 C130 C131 C132 C133" evalError="1"/>
    <ignoredError sqref="B118 B150:B157 B165:B16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3"/>
  </sheetPr>
  <dimension ref="A1:K344"/>
  <sheetViews>
    <sheetView zoomScale="86" zoomScaleNormal="86" zoomScaleSheetLayoutView="50" workbookViewId="0">
      <pane xSplit="2" ySplit="6" topLeftCell="C7" activePane="bottomRight" state="frozen"/>
      <selection activeCell="F46" sqref="F46"/>
      <selection pane="topRight" activeCell="F46" sqref="F46"/>
      <selection pane="bottomLeft" activeCell="F46" sqref="F46"/>
      <selection pane="bottomRight" activeCell="A124" sqref="A124"/>
    </sheetView>
  </sheetViews>
  <sheetFormatPr defaultRowHeight="18.75"/>
  <cols>
    <col min="1" max="1" width="92.85546875" style="3" customWidth="1"/>
    <col min="2" max="2" width="14.85546875" style="25" customWidth="1"/>
    <col min="3" max="7" width="22.42578125" style="25" customWidth="1"/>
    <col min="8" max="8" width="19.85546875" style="25" customWidth="1"/>
    <col min="9" max="9" width="95.42578125" style="25" customWidth="1"/>
    <col min="10" max="10" width="13" style="3" bestFit="1" customWidth="1"/>
    <col min="11" max="16384" width="9.140625" style="3"/>
  </cols>
  <sheetData>
    <row r="1" spans="1:11">
      <c r="A1" s="391" t="s">
        <v>83</v>
      </c>
      <c r="B1" s="391"/>
      <c r="C1" s="391"/>
      <c r="D1" s="391"/>
      <c r="E1" s="391"/>
      <c r="F1" s="391"/>
      <c r="G1" s="391"/>
      <c r="H1" s="391"/>
      <c r="I1" s="391"/>
    </row>
    <row r="2" spans="1:11" ht="12.75" customHeight="1">
      <c r="A2" s="46"/>
      <c r="C2" s="56"/>
      <c r="D2" s="56"/>
      <c r="E2" s="56"/>
      <c r="F2" s="56"/>
      <c r="G2" s="56"/>
      <c r="H2" s="56"/>
      <c r="I2" s="56"/>
    </row>
    <row r="3" spans="1:11" ht="39" customHeight="1">
      <c r="A3" s="383" t="s">
        <v>189</v>
      </c>
      <c r="B3" s="383" t="s">
        <v>18</v>
      </c>
      <c r="C3" s="373" t="s">
        <v>318</v>
      </c>
      <c r="D3" s="373"/>
      <c r="E3" s="383" t="s">
        <v>455</v>
      </c>
      <c r="F3" s="383"/>
      <c r="G3" s="383"/>
      <c r="H3" s="383"/>
      <c r="I3" s="383"/>
    </row>
    <row r="4" spans="1:11" ht="37.5">
      <c r="A4" s="383"/>
      <c r="B4" s="383"/>
      <c r="C4" s="7" t="s">
        <v>176</v>
      </c>
      <c r="D4" s="7" t="s">
        <v>177</v>
      </c>
      <c r="E4" s="7" t="s">
        <v>178</v>
      </c>
      <c r="F4" s="7" t="s">
        <v>166</v>
      </c>
      <c r="G4" s="74" t="s">
        <v>184</v>
      </c>
      <c r="H4" s="74" t="s">
        <v>185</v>
      </c>
      <c r="I4" s="7" t="s">
        <v>183</v>
      </c>
    </row>
    <row r="5" spans="1:11">
      <c r="A5" s="6">
        <v>1</v>
      </c>
      <c r="B5" s="6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  <c r="I5" s="6">
        <v>9</v>
      </c>
    </row>
    <row r="6" spans="1:11" s="5" customFormat="1" ht="24.95" customHeight="1">
      <c r="A6" s="385" t="s">
        <v>182</v>
      </c>
      <c r="B6" s="385"/>
      <c r="C6" s="385"/>
      <c r="D6" s="385"/>
      <c r="E6" s="385"/>
      <c r="F6" s="385"/>
      <c r="G6" s="385"/>
      <c r="H6" s="385"/>
      <c r="I6" s="385"/>
    </row>
    <row r="7" spans="1:11" s="5" customFormat="1" ht="20.100000000000001" customHeight="1">
      <c r="A7" s="10" t="s">
        <v>488</v>
      </c>
      <c r="B7" s="11">
        <v>1000</v>
      </c>
      <c r="C7" s="125"/>
      <c r="D7" s="220">
        <f>12602.9+F7</f>
        <v>25910.068759999998</v>
      </c>
      <c r="E7" s="293">
        <v>7937.9</v>
      </c>
      <c r="F7" s="220">
        <f>(22447.5+31644.9+40330.7+46291.01+56632+54334.31+30047.64+16893.95+22188.75+197030.88+160163.59+202087.92+262317.69+280237.71+276078.18+9309.01+45566.68+87937.23+1383.03+7017+480+193190.38+181070.29+146524.86+35796+30882+13570.85+11556.93+464286.37+5410167.9+3065647.07+1524156.43)/1000+379.9</f>
        <v>13307.168759999999</v>
      </c>
      <c r="G7" s="220">
        <f t="shared" ref="G7:G15" si="0">F7-E7</f>
        <v>5369.268759999999</v>
      </c>
      <c r="H7" s="248">
        <f t="shared" ref="H7:H14" si="1">(F7/E7)*100</f>
        <v>167.64092215825343</v>
      </c>
      <c r="I7" s="98"/>
    </row>
    <row r="8" spans="1:11" ht="20.100000000000001" customHeight="1">
      <c r="A8" s="8" t="s">
        <v>126</v>
      </c>
      <c r="B8" s="9">
        <v>1010</v>
      </c>
      <c r="C8" s="155" t="e">
        <f>SUM(C9:C16)</f>
        <v>#VALUE!</v>
      </c>
      <c r="D8" s="212">
        <f>SUM(D9:D16)</f>
        <v>-50898.9965906</v>
      </c>
      <c r="E8" s="212">
        <f>SUM(E9:E16)</f>
        <v>-16603.55</v>
      </c>
      <c r="F8" s="212">
        <f>SUM(F9:F16)</f>
        <v>-27660.231279999996</v>
      </c>
      <c r="G8" s="209">
        <f t="shared" si="0"/>
        <v>-11056.681279999997</v>
      </c>
      <c r="H8" s="219">
        <f t="shared" si="1"/>
        <v>166.59227261639828</v>
      </c>
      <c r="I8" s="97"/>
    </row>
    <row r="9" spans="1:11" s="2" customFormat="1" ht="20.100000000000001" customHeight="1">
      <c r="A9" s="8" t="s">
        <v>364</v>
      </c>
      <c r="B9" s="6">
        <v>1011</v>
      </c>
      <c r="C9" s="117" t="s">
        <v>223</v>
      </c>
      <c r="D9" s="209" t="s">
        <v>223</v>
      </c>
      <c r="E9" s="209" t="s">
        <v>223</v>
      </c>
      <c r="F9" s="209" t="s">
        <v>223</v>
      </c>
      <c r="G9" s="254" t="e">
        <f t="shared" si="0"/>
        <v>#VALUE!</v>
      </c>
      <c r="H9" s="219" t="e">
        <f t="shared" si="1"/>
        <v>#VALUE!</v>
      </c>
      <c r="I9" s="96"/>
    </row>
    <row r="10" spans="1:11" s="2" customFormat="1" ht="20.100000000000001" customHeight="1">
      <c r="A10" s="8" t="s">
        <v>365</v>
      </c>
      <c r="B10" s="6">
        <v>1012</v>
      </c>
      <c r="C10" s="314" t="s">
        <v>223</v>
      </c>
      <c r="D10" s="255">
        <f>(-21193.5-33992.65-32717.2)/1000+F10</f>
        <v>-154.23934000000003</v>
      </c>
      <c r="E10" s="255">
        <v>-81.95</v>
      </c>
      <c r="F10" s="209">
        <f>(-16335.99-50000)/1000</f>
        <v>-66.33599000000001</v>
      </c>
      <c r="G10" s="209">
        <f t="shared" si="0"/>
        <v>15.614009999999993</v>
      </c>
      <c r="H10" s="219">
        <f t="shared" si="1"/>
        <v>80.946906650396585</v>
      </c>
      <c r="I10" s="386"/>
      <c r="J10" s="387"/>
      <c r="K10" s="387"/>
    </row>
    <row r="11" spans="1:11" s="2" customFormat="1" ht="20.100000000000001" customHeight="1">
      <c r="A11" s="8" t="s">
        <v>366</v>
      </c>
      <c r="B11" s="6">
        <v>1013</v>
      </c>
      <c r="C11" s="117" t="s">
        <v>223</v>
      </c>
      <c r="D11" s="209">
        <f>-318.8+F11</f>
        <v>-692.80591000000004</v>
      </c>
      <c r="E11" s="209">
        <v>-314.2</v>
      </c>
      <c r="F11" s="209">
        <f>-374005.91/1000</f>
        <v>-374.00590999999997</v>
      </c>
      <c r="G11" s="209">
        <f t="shared" si="0"/>
        <v>-59.805909999999983</v>
      </c>
      <c r="H11" s="219">
        <f t="shared" si="1"/>
        <v>119.03434436664544</v>
      </c>
      <c r="I11" s="96"/>
    </row>
    <row r="12" spans="1:11" s="2" customFormat="1" ht="20.100000000000001" customHeight="1">
      <c r="A12" s="8" t="s">
        <v>5</v>
      </c>
      <c r="B12" s="6">
        <v>1014</v>
      </c>
      <c r="C12" s="117" t="s">
        <v>223</v>
      </c>
      <c r="D12" s="209">
        <f>(-12769957.16/1000)-D31+F12</f>
        <v>-22604.12139</v>
      </c>
      <c r="E12" s="209">
        <v>-11003.5</v>
      </c>
      <c r="F12" s="209">
        <f>-11485.5</f>
        <v>-11485.5</v>
      </c>
      <c r="G12" s="209">
        <f t="shared" si="0"/>
        <v>-482</v>
      </c>
      <c r="H12" s="219">
        <f t="shared" si="1"/>
        <v>104.38042441041486</v>
      </c>
      <c r="I12" s="96"/>
    </row>
    <row r="13" spans="1:11" s="2" customFormat="1" ht="20.100000000000001" customHeight="1">
      <c r="A13" s="8" t="s">
        <v>6</v>
      </c>
      <c r="B13" s="6">
        <v>1015</v>
      </c>
      <c r="C13" s="117" t="s">
        <v>223</v>
      </c>
      <c r="D13" s="209">
        <f>(-2834960.41/1000)-D32+F13</f>
        <v>-4797.1665406000002</v>
      </c>
      <c r="E13" s="209">
        <v>-2427.6999999999998</v>
      </c>
      <c r="F13" s="209">
        <f>-2529.5</f>
        <v>-2529.5</v>
      </c>
      <c r="G13" s="209">
        <f t="shared" si="0"/>
        <v>-101.80000000000018</v>
      </c>
      <c r="H13" s="219">
        <f t="shared" si="1"/>
        <v>104.19326934959014</v>
      </c>
      <c r="I13" s="96"/>
    </row>
    <row r="14" spans="1:11" s="2" customFormat="1" ht="37.5">
      <c r="A14" s="8" t="s">
        <v>367</v>
      </c>
      <c r="B14" s="6">
        <v>1016</v>
      </c>
      <c r="C14" s="117" t="s">
        <v>223</v>
      </c>
      <c r="D14" s="209">
        <f>-156.98+F14</f>
        <v>-1669.16104</v>
      </c>
      <c r="E14" s="209">
        <v>-337.2</v>
      </c>
      <c r="F14" s="209">
        <f>(-512181.04-1000000)/1000</f>
        <v>-1512.1810399999999</v>
      </c>
      <c r="G14" s="209">
        <f t="shared" si="0"/>
        <v>-1174.9810399999999</v>
      </c>
      <c r="H14" s="219">
        <f t="shared" si="1"/>
        <v>448.45226571767495</v>
      </c>
      <c r="I14" s="96"/>
      <c r="J14" s="251"/>
    </row>
    <row r="15" spans="1:11" s="2" customFormat="1" ht="20.100000000000001" customHeight="1">
      <c r="A15" s="8" t="s">
        <v>368</v>
      </c>
      <c r="B15" s="6">
        <v>1017</v>
      </c>
      <c r="C15" s="117" t="s">
        <v>223</v>
      </c>
      <c r="D15" s="209">
        <f>-2786616.68/1000+F15</f>
        <v>-4300.9666799999995</v>
      </c>
      <c r="E15" s="209" t="s">
        <v>223</v>
      </c>
      <c r="F15" s="209">
        <f>-1514.35</f>
        <v>-1514.35</v>
      </c>
      <c r="G15" s="209" t="e">
        <f t="shared" si="0"/>
        <v>#VALUE!</v>
      </c>
      <c r="H15" s="219" t="e">
        <f t="shared" ref="H15:H72" si="2">(F15/E15)*100</f>
        <v>#VALUE!</v>
      </c>
      <c r="I15" s="96"/>
    </row>
    <row r="16" spans="1:11" s="2" customFormat="1" ht="20.100000000000001" customHeight="1">
      <c r="A16" s="342" t="s">
        <v>369</v>
      </c>
      <c r="B16" s="6">
        <v>1018</v>
      </c>
      <c r="C16" s="117" t="e">
        <f>C17+C18+C19+C20</f>
        <v>#VALUE!</v>
      </c>
      <c r="D16" s="209">
        <f>D17+D18+D19+D20+D21</f>
        <v>-16680.535690000001</v>
      </c>
      <c r="E16" s="209">
        <f>E17+E18+E19+E20+E21</f>
        <v>-2439</v>
      </c>
      <c r="F16" s="209">
        <f>F17+F18+F19+F20+F21</f>
        <v>-10178.358339999999</v>
      </c>
      <c r="G16" s="209">
        <f>G17+G18+G19+G20+G21</f>
        <v>-7739.3583399999989</v>
      </c>
      <c r="H16" s="294" t="e">
        <f>H17+H18+H19+H20+H21</f>
        <v>#DIV/0!</v>
      </c>
      <c r="I16" s="96"/>
    </row>
    <row r="17" spans="1:9" s="2" customFormat="1" ht="39" customHeight="1">
      <c r="A17" s="208" t="s">
        <v>515</v>
      </c>
      <c r="B17" s="6" t="s">
        <v>457</v>
      </c>
      <c r="C17" s="117" t="s">
        <v>223</v>
      </c>
      <c r="D17" s="209">
        <f>(-7301.5-258316.57-318769.3-23084.81-56318.68)/1000+F17</f>
        <v>-3675.7436699999998</v>
      </c>
      <c r="E17" s="209">
        <v>-430.8</v>
      </c>
      <c r="F17" s="209">
        <f>(-201325.4-245136.72-25097.97-59309.82-12982.9-500000)/1000-1968.1</f>
        <v>-3011.9528099999998</v>
      </c>
      <c r="G17" s="209">
        <f t="shared" ref="G17:G19" si="3">F17-E17</f>
        <v>-2581.1528099999996</v>
      </c>
      <c r="H17" s="219">
        <f t="shared" ref="H17:H20" si="4">(F17/E17)*100</f>
        <v>699.1533913649024</v>
      </c>
      <c r="I17" s="96"/>
    </row>
    <row r="18" spans="1:9" s="2" customFormat="1" ht="20.100000000000001" customHeight="1">
      <c r="A18" s="8" t="s">
        <v>458</v>
      </c>
      <c r="B18" s="6" t="s">
        <v>459</v>
      </c>
      <c r="C18" s="117" t="s">
        <v>223</v>
      </c>
      <c r="D18" s="209">
        <f>-148.27+F18</f>
        <v>-368.54260999999997</v>
      </c>
      <c r="E18" s="209">
        <v>-77.8</v>
      </c>
      <c r="F18" s="209">
        <f>-220272.61/1000</f>
        <v>-220.27260999999999</v>
      </c>
      <c r="G18" s="209">
        <f t="shared" si="3"/>
        <v>-142.47260999999997</v>
      </c>
      <c r="H18" s="219">
        <f t="shared" si="4"/>
        <v>283.12674807197942</v>
      </c>
      <c r="I18" s="96"/>
    </row>
    <row r="19" spans="1:9" s="2" customFormat="1" ht="20.100000000000001" customHeight="1">
      <c r="A19" s="8" t="s">
        <v>460</v>
      </c>
      <c r="B19" s="6" t="s">
        <v>461</v>
      </c>
      <c r="C19" s="117" t="s">
        <v>223</v>
      </c>
      <c r="D19" s="209">
        <f>-2113864.43/1000+F19</f>
        <v>-5698.1742099999992</v>
      </c>
      <c r="E19" s="209">
        <v>-1589.2</v>
      </c>
      <c r="F19" s="209">
        <f>(-2784309.78-800000)/1000</f>
        <v>-3584.3097799999996</v>
      </c>
      <c r="G19" s="209">
        <f t="shared" si="3"/>
        <v>-1995.1097799999995</v>
      </c>
      <c r="H19" s="219">
        <f t="shared" si="4"/>
        <v>225.54176818525042</v>
      </c>
      <c r="I19" s="96"/>
    </row>
    <row r="20" spans="1:9" s="2" customFormat="1" ht="20.100000000000001" customHeight="1">
      <c r="A20" s="8" t="s">
        <v>462</v>
      </c>
      <c r="B20" s="6" t="s">
        <v>463</v>
      </c>
      <c r="C20" s="117" t="s">
        <v>223</v>
      </c>
      <c r="D20" s="209">
        <f>(-16900.27-71907.58-81932.21)/1000+F20</f>
        <v>-341.32812000000001</v>
      </c>
      <c r="E20" s="209">
        <v>-341.2</v>
      </c>
      <c r="F20" s="209">
        <f>-170588.06/1000</f>
        <v>-170.58805999999998</v>
      </c>
      <c r="G20" s="209">
        <f t="shared" ref="G20:G45" si="5">F20-E20</f>
        <v>170.61194</v>
      </c>
      <c r="H20" s="219">
        <f t="shared" si="4"/>
        <v>49.996500586166469</v>
      </c>
      <c r="I20" s="96"/>
    </row>
    <row r="21" spans="1:9" s="2" customFormat="1" ht="20.100000000000001" customHeight="1">
      <c r="A21" s="8" t="s">
        <v>516</v>
      </c>
      <c r="B21" s="6" t="s">
        <v>517</v>
      </c>
      <c r="C21" s="117"/>
      <c r="D21" s="209">
        <f>(-3147337-258175)/1000+F21</f>
        <v>-6596.7470800000001</v>
      </c>
      <c r="E21" s="209"/>
      <c r="F21" s="209">
        <f>(-2223510.95-950932.29-16791.84)/1000</f>
        <v>-3191.2350799999999</v>
      </c>
      <c r="G21" s="209">
        <f t="shared" si="5"/>
        <v>-3191.2350799999999</v>
      </c>
      <c r="H21" s="219" t="e">
        <f>(F21/E21)*100</f>
        <v>#DIV/0!</v>
      </c>
      <c r="I21" s="96"/>
    </row>
    <row r="22" spans="1:9" s="5" customFormat="1" ht="20.100000000000001" customHeight="1">
      <c r="A22" s="10" t="s">
        <v>24</v>
      </c>
      <c r="B22" s="11">
        <v>1020</v>
      </c>
      <c r="C22" s="124" t="e">
        <f>SUM(C7,C8)</f>
        <v>#VALUE!</v>
      </c>
      <c r="D22" s="211">
        <f>SUM(D7,D8)</f>
        <v>-24988.927830600001</v>
      </c>
      <c r="E22" s="211">
        <f>SUM(E7,E8)</f>
        <v>-8665.65</v>
      </c>
      <c r="F22" s="211">
        <f>SUM(F7,F8)</f>
        <v>-14353.062519999998</v>
      </c>
      <c r="G22" s="220">
        <f t="shared" si="5"/>
        <v>-5687.412519999998</v>
      </c>
      <c r="H22" s="248">
        <f>(F22/E22)*100</f>
        <v>165.63168971744759</v>
      </c>
      <c r="I22" s="98"/>
    </row>
    <row r="23" spans="1:9" ht="20.100000000000001" customHeight="1">
      <c r="A23" s="8" t="s">
        <v>151</v>
      </c>
      <c r="B23" s="9">
        <v>1030</v>
      </c>
      <c r="C23" s="155">
        <f>SUM(C24:C43,C45)</f>
        <v>0</v>
      </c>
      <c r="D23" s="212">
        <f>SUM(D24:D43,D45)</f>
        <v>-2218.6296394000001</v>
      </c>
      <c r="E23" s="212">
        <f>SUM(E24:E43,E45)</f>
        <v>-859.75</v>
      </c>
      <c r="F23" s="212">
        <f>SUM(F24:F27,F31,F41,F42,F32)</f>
        <v>-1127.5999999999999</v>
      </c>
      <c r="G23" s="209">
        <f t="shared" si="5"/>
        <v>-267.84999999999991</v>
      </c>
      <c r="H23" s="219">
        <f>(F23/E23)*100</f>
        <v>131.15440535039255</v>
      </c>
      <c r="I23" s="97"/>
    </row>
    <row r="24" spans="1:9" ht="20.100000000000001" customHeight="1">
      <c r="A24" s="8" t="s">
        <v>92</v>
      </c>
      <c r="B24" s="9">
        <v>1031</v>
      </c>
      <c r="C24" s="117" t="s">
        <v>223</v>
      </c>
      <c r="D24" s="117" t="s">
        <v>223</v>
      </c>
      <c r="E24" s="117" t="s">
        <v>223</v>
      </c>
      <c r="F24" s="117" t="s">
        <v>223</v>
      </c>
      <c r="G24" s="117" t="e">
        <f t="shared" si="5"/>
        <v>#VALUE!</v>
      </c>
      <c r="H24" s="154" t="e">
        <f t="shared" si="2"/>
        <v>#VALUE!</v>
      </c>
      <c r="I24" s="97"/>
    </row>
    <row r="25" spans="1:9" ht="20.100000000000001" customHeight="1">
      <c r="A25" s="8" t="s">
        <v>143</v>
      </c>
      <c r="B25" s="9">
        <v>1032</v>
      </c>
      <c r="C25" s="117" t="s">
        <v>223</v>
      </c>
      <c r="D25" s="117" t="s">
        <v>223</v>
      </c>
      <c r="E25" s="117" t="s">
        <v>223</v>
      </c>
      <c r="F25" s="117" t="s">
        <v>223</v>
      </c>
      <c r="G25" s="117" t="e">
        <f t="shared" si="5"/>
        <v>#VALUE!</v>
      </c>
      <c r="H25" s="154" t="e">
        <f t="shared" si="2"/>
        <v>#VALUE!</v>
      </c>
      <c r="I25" s="97"/>
    </row>
    <row r="26" spans="1:9" ht="20.100000000000001" customHeight="1">
      <c r="A26" s="8" t="s">
        <v>54</v>
      </c>
      <c r="B26" s="9">
        <v>1033</v>
      </c>
      <c r="C26" s="117" t="s">
        <v>223</v>
      </c>
      <c r="D26" s="117" t="s">
        <v>223</v>
      </c>
      <c r="E26" s="117" t="s">
        <v>223</v>
      </c>
      <c r="F26" s="117" t="s">
        <v>223</v>
      </c>
      <c r="G26" s="117" t="e">
        <f t="shared" si="5"/>
        <v>#VALUE!</v>
      </c>
      <c r="H26" s="154" t="e">
        <f t="shared" si="2"/>
        <v>#VALUE!</v>
      </c>
      <c r="I26" s="97"/>
    </row>
    <row r="27" spans="1:9" ht="20.100000000000001" customHeight="1">
      <c r="A27" s="342" t="s">
        <v>22</v>
      </c>
      <c r="B27" s="9">
        <v>1034</v>
      </c>
      <c r="C27" s="117" t="s">
        <v>223</v>
      </c>
      <c r="D27" s="117" t="s">
        <v>223</v>
      </c>
      <c r="E27" s="117" t="s">
        <v>223</v>
      </c>
      <c r="F27" s="117" t="s">
        <v>223</v>
      </c>
      <c r="G27" s="117" t="e">
        <f t="shared" si="5"/>
        <v>#VALUE!</v>
      </c>
      <c r="H27" s="154" t="e">
        <f t="shared" si="2"/>
        <v>#VALUE!</v>
      </c>
      <c r="I27" s="97"/>
    </row>
    <row r="28" spans="1:9" ht="20.100000000000001" customHeight="1">
      <c r="A28" s="42" t="s">
        <v>23</v>
      </c>
      <c r="B28" s="9">
        <v>1035</v>
      </c>
      <c r="C28" s="117" t="s">
        <v>223</v>
      </c>
      <c r="D28" s="117" t="s">
        <v>223</v>
      </c>
      <c r="E28" s="117" t="s">
        <v>223</v>
      </c>
      <c r="F28" s="117" t="s">
        <v>223</v>
      </c>
      <c r="G28" s="117" t="e">
        <f t="shared" si="5"/>
        <v>#VALUE!</v>
      </c>
      <c r="H28" s="154" t="e">
        <f t="shared" si="2"/>
        <v>#VALUE!</v>
      </c>
      <c r="I28" s="97"/>
    </row>
    <row r="29" spans="1:9" s="2" customFormat="1" ht="20.100000000000001" customHeight="1">
      <c r="A29" s="8" t="s">
        <v>33</v>
      </c>
      <c r="B29" s="9">
        <v>1036</v>
      </c>
      <c r="C29" s="117" t="s">
        <v>223</v>
      </c>
      <c r="D29" s="117" t="s">
        <v>223</v>
      </c>
      <c r="E29" s="117" t="s">
        <v>223</v>
      </c>
      <c r="F29" s="117" t="s">
        <v>223</v>
      </c>
      <c r="G29" s="117" t="e">
        <f t="shared" si="5"/>
        <v>#VALUE!</v>
      </c>
      <c r="H29" s="154" t="e">
        <f t="shared" si="2"/>
        <v>#VALUE!</v>
      </c>
      <c r="I29" s="97"/>
    </row>
    <row r="30" spans="1:9" s="2" customFormat="1" ht="20.100000000000001" customHeight="1">
      <c r="A30" s="8" t="s">
        <v>34</v>
      </c>
      <c r="B30" s="9">
        <v>1037</v>
      </c>
      <c r="C30" s="117" t="s">
        <v>223</v>
      </c>
      <c r="D30" s="209"/>
      <c r="E30" s="209">
        <v>-15.3</v>
      </c>
      <c r="F30" s="209"/>
      <c r="G30" s="209">
        <f t="shared" si="5"/>
        <v>15.3</v>
      </c>
      <c r="H30" s="219">
        <f>(F30/E30)*100</f>
        <v>0</v>
      </c>
      <c r="I30" s="97"/>
    </row>
    <row r="31" spans="1:9" s="2" customFormat="1" ht="20.100000000000001" customHeight="1">
      <c r="A31" s="8" t="s">
        <v>35</v>
      </c>
      <c r="B31" s="9">
        <v>1038</v>
      </c>
      <c r="C31" s="117" t="s">
        <v>223</v>
      </c>
      <c r="D31" s="209">
        <f>(-129546.98-15797.51-30157.21-19003.44-29154-29154-23323-23323-31481.37-181343.26-215452)/1000+F31</f>
        <v>-1651.3357700000001</v>
      </c>
      <c r="E31" s="209">
        <v>-682.5</v>
      </c>
      <c r="F31" s="209">
        <f>-923.6</f>
        <v>-923.6</v>
      </c>
      <c r="G31" s="209">
        <f t="shared" si="5"/>
        <v>-241.10000000000002</v>
      </c>
      <c r="H31" s="219">
        <f>(F31/E31)*100</f>
        <v>135.32600732600733</v>
      </c>
      <c r="I31" s="97"/>
    </row>
    <row r="32" spans="1:9" s="2" customFormat="1" ht="20.100000000000001" customHeight="1">
      <c r="A32" s="8" t="s">
        <v>36</v>
      </c>
      <c r="B32" s="9">
        <v>1039</v>
      </c>
      <c r="C32" s="117" t="s">
        <v>223</v>
      </c>
      <c r="D32" s="209">
        <f>D31*0.22+F32</f>
        <v>-567.29386939999995</v>
      </c>
      <c r="E32" s="209">
        <v>-161.94999999999999</v>
      </c>
      <c r="F32" s="209">
        <f>-204</f>
        <v>-204</v>
      </c>
      <c r="G32" s="209">
        <f t="shared" si="5"/>
        <v>-42.050000000000011</v>
      </c>
      <c r="H32" s="219">
        <f>(F32/E32)*100</f>
        <v>125.964803951837</v>
      </c>
      <c r="I32" s="97"/>
    </row>
    <row r="33" spans="1:9" s="2" customFormat="1" ht="42.75" customHeight="1">
      <c r="A33" s="8" t="s">
        <v>37</v>
      </c>
      <c r="B33" s="9">
        <v>1040</v>
      </c>
      <c r="C33" s="117" t="s">
        <v>223</v>
      </c>
      <c r="D33" s="209" t="s">
        <v>223</v>
      </c>
      <c r="E33" s="209" t="s">
        <v>223</v>
      </c>
      <c r="F33" s="209" t="s">
        <v>223</v>
      </c>
      <c r="G33" s="209" t="e">
        <f t="shared" si="5"/>
        <v>#VALUE!</v>
      </c>
      <c r="H33" s="219" t="e">
        <f t="shared" si="2"/>
        <v>#VALUE!</v>
      </c>
      <c r="I33" s="97"/>
    </row>
    <row r="34" spans="1:9" s="2" customFormat="1" ht="42.75" customHeight="1">
      <c r="A34" s="8" t="s">
        <v>38</v>
      </c>
      <c r="B34" s="9">
        <v>1041</v>
      </c>
      <c r="C34" s="117" t="s">
        <v>223</v>
      </c>
      <c r="D34" s="209" t="s">
        <v>223</v>
      </c>
      <c r="E34" s="209" t="s">
        <v>223</v>
      </c>
      <c r="F34" s="209" t="s">
        <v>223</v>
      </c>
      <c r="G34" s="209" t="e">
        <f t="shared" si="5"/>
        <v>#VALUE!</v>
      </c>
      <c r="H34" s="219" t="e">
        <f t="shared" si="2"/>
        <v>#VALUE!</v>
      </c>
      <c r="I34" s="97"/>
    </row>
    <row r="35" spans="1:9" s="2" customFormat="1" ht="20.100000000000001" customHeight="1">
      <c r="A35" s="8" t="s">
        <v>39</v>
      </c>
      <c r="B35" s="9">
        <v>1042</v>
      </c>
      <c r="C35" s="117" t="s">
        <v>223</v>
      </c>
      <c r="D35" s="209" t="s">
        <v>223</v>
      </c>
      <c r="E35" s="209" t="s">
        <v>223</v>
      </c>
      <c r="F35" s="209" t="s">
        <v>223</v>
      </c>
      <c r="G35" s="209" t="e">
        <f t="shared" si="5"/>
        <v>#VALUE!</v>
      </c>
      <c r="H35" s="219" t="e">
        <f t="shared" si="2"/>
        <v>#VALUE!</v>
      </c>
      <c r="I35" s="97"/>
    </row>
    <row r="36" spans="1:9" s="2" customFormat="1" ht="20.100000000000001" customHeight="1">
      <c r="A36" s="8" t="s">
        <v>40</v>
      </c>
      <c r="B36" s="9">
        <v>1043</v>
      </c>
      <c r="C36" s="117" t="s">
        <v>223</v>
      </c>
      <c r="D36" s="209" t="s">
        <v>223</v>
      </c>
      <c r="E36" s="209" t="s">
        <v>223</v>
      </c>
      <c r="F36" s="209" t="s">
        <v>223</v>
      </c>
      <c r="G36" s="209" t="e">
        <f t="shared" si="5"/>
        <v>#VALUE!</v>
      </c>
      <c r="H36" s="219" t="e">
        <f t="shared" si="2"/>
        <v>#VALUE!</v>
      </c>
      <c r="I36" s="97"/>
    </row>
    <row r="37" spans="1:9" s="2" customFormat="1" ht="20.100000000000001" customHeight="1">
      <c r="A37" s="8" t="s">
        <v>41</v>
      </c>
      <c r="B37" s="9">
        <v>1044</v>
      </c>
      <c r="C37" s="117" t="s">
        <v>223</v>
      </c>
      <c r="D37" s="209" t="s">
        <v>223</v>
      </c>
      <c r="E37" s="209" t="s">
        <v>223</v>
      </c>
      <c r="F37" s="209" t="s">
        <v>223</v>
      </c>
      <c r="G37" s="209" t="e">
        <f t="shared" si="5"/>
        <v>#VALUE!</v>
      </c>
      <c r="H37" s="219" t="e">
        <f t="shared" si="2"/>
        <v>#VALUE!</v>
      </c>
      <c r="I37" s="97"/>
    </row>
    <row r="38" spans="1:9" s="2" customFormat="1" ht="20.100000000000001" customHeight="1">
      <c r="A38" s="8" t="s">
        <v>56</v>
      </c>
      <c r="B38" s="9">
        <v>1045</v>
      </c>
      <c r="C38" s="117" t="s">
        <v>223</v>
      </c>
      <c r="D38" s="209" t="s">
        <v>223</v>
      </c>
      <c r="E38" s="209" t="s">
        <v>223</v>
      </c>
      <c r="F38" s="209" t="s">
        <v>223</v>
      </c>
      <c r="G38" s="209" t="e">
        <f t="shared" si="5"/>
        <v>#VALUE!</v>
      </c>
      <c r="H38" s="219" t="e">
        <f t="shared" si="2"/>
        <v>#VALUE!</v>
      </c>
      <c r="I38" s="97"/>
    </row>
    <row r="39" spans="1:9" s="2" customFormat="1" ht="20.100000000000001" customHeight="1">
      <c r="A39" s="8" t="s">
        <v>42</v>
      </c>
      <c r="B39" s="9">
        <v>1046</v>
      </c>
      <c r="C39" s="117" t="s">
        <v>223</v>
      </c>
      <c r="D39" s="209" t="s">
        <v>223</v>
      </c>
      <c r="E39" s="209" t="s">
        <v>223</v>
      </c>
      <c r="F39" s="209" t="s">
        <v>223</v>
      </c>
      <c r="G39" s="209" t="e">
        <f t="shared" si="5"/>
        <v>#VALUE!</v>
      </c>
      <c r="H39" s="219" t="e">
        <f t="shared" si="2"/>
        <v>#VALUE!</v>
      </c>
      <c r="I39" s="97"/>
    </row>
    <row r="40" spans="1:9" s="2" customFormat="1" ht="20.100000000000001" customHeight="1">
      <c r="A40" s="8" t="s">
        <v>43</v>
      </c>
      <c r="B40" s="9">
        <v>1047</v>
      </c>
      <c r="C40" s="117" t="s">
        <v>223</v>
      </c>
      <c r="D40" s="209" t="s">
        <v>223</v>
      </c>
      <c r="E40" s="209" t="s">
        <v>223</v>
      </c>
      <c r="F40" s="209" t="s">
        <v>223</v>
      </c>
      <c r="G40" s="209" t="e">
        <f t="shared" si="5"/>
        <v>#VALUE!</v>
      </c>
      <c r="H40" s="219" t="e">
        <f t="shared" si="2"/>
        <v>#VALUE!</v>
      </c>
      <c r="I40" s="97"/>
    </row>
    <row r="41" spans="1:9" s="2" customFormat="1" ht="20.100000000000001" customHeight="1">
      <c r="A41" s="8" t="s">
        <v>44</v>
      </c>
      <c r="B41" s="9">
        <v>1048</v>
      </c>
      <c r="C41" s="117" t="s">
        <v>223</v>
      </c>
      <c r="D41" s="209" t="s">
        <v>223</v>
      </c>
      <c r="E41" s="209" t="s">
        <v>223</v>
      </c>
      <c r="F41" s="209" t="s">
        <v>223</v>
      </c>
      <c r="G41" s="209" t="e">
        <f t="shared" si="5"/>
        <v>#VALUE!</v>
      </c>
      <c r="H41" s="219" t="e">
        <f t="shared" si="2"/>
        <v>#VALUE!</v>
      </c>
      <c r="I41" s="97"/>
    </row>
    <row r="42" spans="1:9" s="2" customFormat="1" ht="20.100000000000001" customHeight="1">
      <c r="A42" s="8" t="s">
        <v>45</v>
      </c>
      <c r="B42" s="9">
        <v>1049</v>
      </c>
      <c r="C42" s="117" t="s">
        <v>223</v>
      </c>
      <c r="D42" s="209" t="s">
        <v>223</v>
      </c>
      <c r="E42" s="209" t="s">
        <v>223</v>
      </c>
      <c r="F42" s="209" t="s">
        <v>223</v>
      </c>
      <c r="G42" s="209" t="e">
        <f t="shared" si="5"/>
        <v>#VALUE!</v>
      </c>
      <c r="H42" s="219" t="e">
        <f t="shared" si="2"/>
        <v>#VALUE!</v>
      </c>
      <c r="I42" s="97"/>
    </row>
    <row r="43" spans="1:9" s="2" customFormat="1" ht="42.75" customHeight="1">
      <c r="A43" s="8" t="s">
        <v>67</v>
      </c>
      <c r="B43" s="9">
        <v>1050</v>
      </c>
      <c r="C43" s="117" t="s">
        <v>223</v>
      </c>
      <c r="D43" s="209" t="s">
        <v>223</v>
      </c>
      <c r="E43" s="209" t="s">
        <v>223</v>
      </c>
      <c r="F43" s="209" t="s">
        <v>223</v>
      </c>
      <c r="G43" s="209" t="e">
        <f t="shared" si="5"/>
        <v>#VALUE!</v>
      </c>
      <c r="H43" s="219" t="e">
        <f t="shared" si="2"/>
        <v>#VALUE!</v>
      </c>
      <c r="I43" s="97"/>
    </row>
    <row r="44" spans="1:9" s="2" customFormat="1" ht="20.100000000000001" customHeight="1">
      <c r="A44" s="8" t="s">
        <v>46</v>
      </c>
      <c r="B44" s="6" t="s">
        <v>300</v>
      </c>
      <c r="C44" s="117" t="s">
        <v>223</v>
      </c>
      <c r="D44" s="209" t="s">
        <v>223</v>
      </c>
      <c r="E44" s="209" t="s">
        <v>223</v>
      </c>
      <c r="F44" s="209" t="s">
        <v>223</v>
      </c>
      <c r="G44" s="209" t="e">
        <f t="shared" si="5"/>
        <v>#VALUE!</v>
      </c>
      <c r="H44" s="219" t="e">
        <f t="shared" si="2"/>
        <v>#VALUE!</v>
      </c>
      <c r="I44" s="97"/>
    </row>
    <row r="45" spans="1:9" s="2" customFormat="1" ht="20.100000000000001" customHeight="1">
      <c r="A45" s="8" t="s">
        <v>95</v>
      </c>
      <c r="B45" s="9">
        <v>1051</v>
      </c>
      <c r="C45" s="117" t="s">
        <v>223</v>
      </c>
      <c r="D45" s="117" t="s">
        <v>223</v>
      </c>
      <c r="E45" s="117" t="s">
        <v>223</v>
      </c>
      <c r="F45" s="117" t="s">
        <v>223</v>
      </c>
      <c r="G45" s="117" t="e">
        <f t="shared" si="5"/>
        <v>#VALUE!</v>
      </c>
      <c r="H45" s="273" t="e">
        <f t="shared" si="2"/>
        <v>#VALUE!</v>
      </c>
      <c r="I45" s="326"/>
    </row>
    <row r="46" spans="1:9" s="2" customFormat="1" ht="20.100000000000001" customHeight="1">
      <c r="A46" s="8" t="s">
        <v>526</v>
      </c>
      <c r="B46" s="9">
        <v>1060</v>
      </c>
      <c r="C46" s="155">
        <v>0</v>
      </c>
      <c r="D46" s="155">
        <v>0</v>
      </c>
      <c r="E46" s="155">
        <v>0</v>
      </c>
      <c r="F46" s="155">
        <v>0</v>
      </c>
      <c r="G46" s="117">
        <v>0</v>
      </c>
      <c r="H46" s="154" t="e">
        <v>#DIV/0!</v>
      </c>
      <c r="I46" s="326"/>
    </row>
    <row r="47" spans="1:9" s="2" customFormat="1" ht="20.100000000000001" customHeight="1">
      <c r="A47" s="8" t="s">
        <v>129</v>
      </c>
      <c r="B47" s="9">
        <v>1061</v>
      </c>
      <c r="C47" s="117" t="s">
        <v>223</v>
      </c>
      <c r="D47" s="209" t="s">
        <v>223</v>
      </c>
      <c r="E47" s="209" t="s">
        <v>223</v>
      </c>
      <c r="F47" s="209" t="s">
        <v>223</v>
      </c>
      <c r="G47" s="209" t="e">
        <f t="shared" ref="G47:G56" si="6">F47-E47</f>
        <v>#VALUE!</v>
      </c>
      <c r="H47" s="219" t="e">
        <f t="shared" si="2"/>
        <v>#VALUE!</v>
      </c>
      <c r="I47" s="97"/>
    </row>
    <row r="48" spans="1:9" s="2" customFormat="1" ht="20.100000000000001" customHeight="1">
      <c r="A48" s="8" t="s">
        <v>130</v>
      </c>
      <c r="B48" s="9">
        <v>1062</v>
      </c>
      <c r="C48" s="117" t="s">
        <v>223</v>
      </c>
      <c r="D48" s="209" t="s">
        <v>223</v>
      </c>
      <c r="E48" s="209" t="s">
        <v>223</v>
      </c>
      <c r="F48" s="209" t="s">
        <v>223</v>
      </c>
      <c r="G48" s="209" t="e">
        <f t="shared" si="6"/>
        <v>#VALUE!</v>
      </c>
      <c r="H48" s="219" t="e">
        <f t="shared" si="2"/>
        <v>#VALUE!</v>
      </c>
      <c r="I48" s="97"/>
    </row>
    <row r="49" spans="1:9" s="2" customFormat="1" ht="20.100000000000001" customHeight="1">
      <c r="A49" s="8" t="s">
        <v>35</v>
      </c>
      <c r="B49" s="9">
        <v>1063</v>
      </c>
      <c r="C49" s="117" t="s">
        <v>223</v>
      </c>
      <c r="D49" s="209" t="s">
        <v>223</v>
      </c>
      <c r="E49" s="209" t="s">
        <v>223</v>
      </c>
      <c r="F49" s="209" t="s">
        <v>223</v>
      </c>
      <c r="G49" s="209" t="e">
        <f t="shared" si="6"/>
        <v>#VALUE!</v>
      </c>
      <c r="H49" s="219" t="e">
        <f t="shared" si="2"/>
        <v>#VALUE!</v>
      </c>
      <c r="I49" s="97"/>
    </row>
    <row r="50" spans="1:9" s="2" customFormat="1" ht="20.100000000000001" customHeight="1">
      <c r="A50" s="8" t="s">
        <v>36</v>
      </c>
      <c r="B50" s="9">
        <v>1064</v>
      </c>
      <c r="C50" s="117" t="s">
        <v>223</v>
      </c>
      <c r="D50" s="209" t="s">
        <v>223</v>
      </c>
      <c r="E50" s="209" t="s">
        <v>223</v>
      </c>
      <c r="F50" s="209" t="s">
        <v>223</v>
      </c>
      <c r="G50" s="209" t="e">
        <f t="shared" si="6"/>
        <v>#VALUE!</v>
      </c>
      <c r="H50" s="219" t="e">
        <f t="shared" si="2"/>
        <v>#VALUE!</v>
      </c>
      <c r="I50" s="97"/>
    </row>
    <row r="51" spans="1:9" s="2" customFormat="1" ht="20.100000000000001" customHeight="1">
      <c r="A51" s="8" t="s">
        <v>55</v>
      </c>
      <c r="B51" s="9">
        <v>1065</v>
      </c>
      <c r="C51" s="117" t="s">
        <v>223</v>
      </c>
      <c r="D51" s="209" t="s">
        <v>223</v>
      </c>
      <c r="E51" s="209" t="s">
        <v>223</v>
      </c>
      <c r="F51" s="209" t="s">
        <v>223</v>
      </c>
      <c r="G51" s="209" t="e">
        <f t="shared" si="6"/>
        <v>#VALUE!</v>
      </c>
      <c r="H51" s="219" t="e">
        <f t="shared" si="2"/>
        <v>#VALUE!</v>
      </c>
      <c r="I51" s="97"/>
    </row>
    <row r="52" spans="1:9" s="2" customFormat="1" ht="20.100000000000001" customHeight="1">
      <c r="A52" s="8" t="s">
        <v>70</v>
      </c>
      <c r="B52" s="9">
        <v>1066</v>
      </c>
      <c r="C52" s="117" t="s">
        <v>223</v>
      </c>
      <c r="D52" s="209" t="s">
        <v>223</v>
      </c>
      <c r="E52" s="209" t="s">
        <v>223</v>
      </c>
      <c r="F52" s="209" t="s">
        <v>223</v>
      </c>
      <c r="G52" s="209" t="e">
        <f t="shared" si="6"/>
        <v>#VALUE!</v>
      </c>
      <c r="H52" s="219" t="e">
        <f t="shared" si="2"/>
        <v>#VALUE!</v>
      </c>
      <c r="I52" s="97"/>
    </row>
    <row r="53" spans="1:9" s="2" customFormat="1" ht="20.100000000000001" customHeight="1">
      <c r="A53" s="8" t="s">
        <v>104</v>
      </c>
      <c r="B53" s="9">
        <v>1067</v>
      </c>
      <c r="C53" s="117" t="s">
        <v>223</v>
      </c>
      <c r="D53" s="209" t="s">
        <v>223</v>
      </c>
      <c r="E53" s="209" t="s">
        <v>223</v>
      </c>
      <c r="F53" s="209" t="s">
        <v>223</v>
      </c>
      <c r="G53" s="209" t="e">
        <f t="shared" si="6"/>
        <v>#VALUE!</v>
      </c>
      <c r="H53" s="219" t="e">
        <f t="shared" si="2"/>
        <v>#VALUE!</v>
      </c>
      <c r="I53" s="97"/>
    </row>
    <row r="54" spans="1:9" s="2" customFormat="1" ht="20.100000000000001" customHeight="1">
      <c r="A54" s="8" t="s">
        <v>244</v>
      </c>
      <c r="B54" s="9">
        <v>1070</v>
      </c>
      <c r="C54" s="155">
        <f>SUM(C55:C57)</f>
        <v>0</v>
      </c>
      <c r="D54" s="212">
        <f>SUM(D55:D57)</f>
        <v>26263.457930000004</v>
      </c>
      <c r="E54" s="212">
        <f>SUM(E55:E57)</f>
        <v>9711.9</v>
      </c>
      <c r="F54" s="212">
        <f>SUM(F55:F57)</f>
        <v>8322.3379300000015</v>
      </c>
      <c r="G54" s="209">
        <f t="shared" si="6"/>
        <v>-1389.5620699999981</v>
      </c>
      <c r="H54" s="219">
        <f>(F54/E54)*100</f>
        <v>85.692170738990328</v>
      </c>
      <c r="I54" s="97"/>
    </row>
    <row r="55" spans="1:9" s="2" customFormat="1" ht="20.100000000000001" customHeight="1">
      <c r="A55" s="8" t="s">
        <v>148</v>
      </c>
      <c r="B55" s="9">
        <v>1071</v>
      </c>
      <c r="C55" s="117"/>
      <c r="D55" s="209"/>
      <c r="E55" s="209"/>
      <c r="F55" s="209"/>
      <c r="G55" s="209">
        <f t="shared" si="6"/>
        <v>0</v>
      </c>
      <c r="H55" s="219" t="e">
        <f t="shared" si="2"/>
        <v>#DIV/0!</v>
      </c>
      <c r="I55" s="97"/>
    </row>
    <row r="56" spans="1:9" s="2" customFormat="1" ht="20.100000000000001" customHeight="1">
      <c r="A56" s="8" t="s">
        <v>268</v>
      </c>
      <c r="B56" s="9">
        <v>1072</v>
      </c>
      <c r="C56" s="117"/>
      <c r="D56" s="209"/>
      <c r="E56" s="209"/>
      <c r="F56" s="209"/>
      <c r="G56" s="209">
        <f t="shared" si="6"/>
        <v>0</v>
      </c>
      <c r="H56" s="219" t="e">
        <f t="shared" si="2"/>
        <v>#DIV/0!</v>
      </c>
      <c r="I56" s="97"/>
    </row>
    <row r="57" spans="1:9" s="2" customFormat="1" ht="20.100000000000001" customHeight="1">
      <c r="A57" s="8" t="s">
        <v>245</v>
      </c>
      <c r="B57" s="9">
        <v>1073</v>
      </c>
      <c r="C57" s="117">
        <f>SUM(C58:C60)</f>
        <v>0</v>
      </c>
      <c r="D57" s="209">
        <f>SUM(D58:D66)</f>
        <v>26263.457930000004</v>
      </c>
      <c r="E57" s="209">
        <f>SUM(E58:E66)</f>
        <v>9711.9</v>
      </c>
      <c r="F57" s="209">
        <f>SUM(F58:F66)</f>
        <v>8322.3379300000015</v>
      </c>
      <c r="G57" s="209">
        <f>SUM(G58:G60)</f>
        <v>-5254.185379999999</v>
      </c>
      <c r="H57" s="219">
        <f>(F57/E57)*100</f>
        <v>85.692170738990328</v>
      </c>
      <c r="I57" s="210">
        <f>SUM(I58:I66)</f>
        <v>0</v>
      </c>
    </row>
    <row r="58" spans="1:9" s="2" customFormat="1" ht="20.100000000000001" customHeight="1">
      <c r="A58" s="213" t="s">
        <v>464</v>
      </c>
      <c r="B58" s="6" t="s">
        <v>465</v>
      </c>
      <c r="C58" s="117"/>
      <c r="D58" s="209">
        <f>86.21+F58</f>
        <v>121.60999999999999</v>
      </c>
      <c r="E58" s="209">
        <v>111.6</v>
      </c>
      <c r="F58" s="344">
        <v>35.4</v>
      </c>
      <c r="G58" s="209">
        <f t="shared" ref="G58:G67" si="7">F58-E58</f>
        <v>-76.199999999999989</v>
      </c>
      <c r="H58" s="219">
        <f>(F58/E58)*100</f>
        <v>31.72043010752688</v>
      </c>
      <c r="I58" s="244"/>
    </row>
    <row r="59" spans="1:9" s="2" customFormat="1" ht="20.100000000000001" customHeight="1">
      <c r="A59" s="213" t="s">
        <v>466</v>
      </c>
      <c r="B59" s="6" t="s">
        <v>467</v>
      </c>
      <c r="C59" s="117"/>
      <c r="D59" s="209">
        <f>300+F59</f>
        <v>820.6</v>
      </c>
      <c r="E59" s="209">
        <v>75</v>
      </c>
      <c r="F59" s="344">
        <v>520.6</v>
      </c>
      <c r="G59" s="209">
        <f t="shared" si="7"/>
        <v>445.6</v>
      </c>
      <c r="H59" s="219">
        <f>(F59/E59)*100</f>
        <v>694.13333333333333</v>
      </c>
      <c r="I59" s="244"/>
    </row>
    <row r="60" spans="1:9" s="2" customFormat="1" ht="56.25" customHeight="1">
      <c r="A60" s="213" t="s">
        <v>469</v>
      </c>
      <c r="B60" s="6" t="s">
        <v>468</v>
      </c>
      <c r="C60" s="117"/>
      <c r="D60" s="209">
        <f>11465.24+F60</f>
        <v>15366.95462</v>
      </c>
      <c r="E60" s="209">
        <v>9525.2999999999993</v>
      </c>
      <c r="F60" s="209">
        <f>(2576067.35+730161.6+595485.67)/1000</f>
        <v>3901.7146200000002</v>
      </c>
      <c r="G60" s="209">
        <f t="shared" si="7"/>
        <v>-5623.5853799999986</v>
      </c>
      <c r="H60" s="219">
        <f>(F60/E60)*100</f>
        <v>40.961593020692263</v>
      </c>
      <c r="I60" s="244"/>
    </row>
    <row r="61" spans="1:9" s="2" customFormat="1" ht="23.25" hidden="1" customHeight="1">
      <c r="A61" s="213" t="s">
        <v>490</v>
      </c>
      <c r="B61" s="6" t="s">
        <v>489</v>
      </c>
      <c r="C61" s="117"/>
      <c r="D61" s="209">
        <v>0</v>
      </c>
      <c r="E61" s="209"/>
      <c r="F61" s="209">
        <v>0</v>
      </c>
      <c r="G61" s="209">
        <f t="shared" si="7"/>
        <v>0</v>
      </c>
      <c r="H61" s="219" t="e">
        <f t="shared" ref="H61:H68" si="8">(F61/E61)*100</f>
        <v>#DIV/0!</v>
      </c>
      <c r="I61" s="244"/>
    </row>
    <row r="62" spans="1:9" s="2" customFormat="1" ht="23.25" hidden="1" customHeight="1">
      <c r="A62" s="213" t="s">
        <v>491</v>
      </c>
      <c r="B62" s="6" t="s">
        <v>493</v>
      </c>
      <c r="C62" s="117"/>
      <c r="D62" s="209">
        <v>0</v>
      </c>
      <c r="E62" s="209"/>
      <c r="F62" s="209">
        <v>0</v>
      </c>
      <c r="G62" s="209">
        <f t="shared" si="7"/>
        <v>0</v>
      </c>
      <c r="H62" s="219" t="e">
        <f t="shared" si="8"/>
        <v>#DIV/0!</v>
      </c>
      <c r="I62" s="244"/>
    </row>
    <row r="63" spans="1:9" s="2" customFormat="1" ht="23.25" hidden="1" customHeight="1">
      <c r="A63" s="213" t="s">
        <v>492</v>
      </c>
      <c r="B63" s="6" t="s">
        <v>494</v>
      </c>
      <c r="C63" s="117"/>
      <c r="D63" s="209">
        <v>0</v>
      </c>
      <c r="E63" s="209">
        <v>0</v>
      </c>
      <c r="F63" s="209">
        <v>0</v>
      </c>
      <c r="G63" s="209">
        <f t="shared" si="7"/>
        <v>0</v>
      </c>
      <c r="H63" s="219" t="e">
        <f t="shared" si="8"/>
        <v>#DIV/0!</v>
      </c>
      <c r="I63" s="244"/>
    </row>
    <row r="64" spans="1:9" s="2" customFormat="1" ht="23.25" customHeight="1">
      <c r="A64" s="213" t="s">
        <v>495</v>
      </c>
      <c r="B64" s="6" t="s">
        <v>489</v>
      </c>
      <c r="C64" s="117"/>
      <c r="D64" s="209">
        <f>7.48+F64</f>
        <v>24.80219</v>
      </c>
      <c r="E64" s="209">
        <v>0</v>
      </c>
      <c r="F64" s="209">
        <f>(5088.29+12007.56+226.34)/1000</f>
        <v>17.322189999999999</v>
      </c>
      <c r="G64" s="209">
        <f t="shared" si="7"/>
        <v>17.322189999999999</v>
      </c>
      <c r="H64" s="219" t="e">
        <f t="shared" si="8"/>
        <v>#DIV/0!</v>
      </c>
      <c r="I64" s="244"/>
    </row>
    <row r="65" spans="1:11" s="2" customFormat="1" ht="23.25" customHeight="1">
      <c r="A65" s="213" t="s">
        <v>496</v>
      </c>
      <c r="B65" s="6" t="s">
        <v>493</v>
      </c>
      <c r="C65" s="117"/>
      <c r="D65" s="209">
        <f>448.59+13.6+F65</f>
        <v>749.07330000000002</v>
      </c>
      <c r="E65" s="209">
        <v>0</v>
      </c>
      <c r="F65" s="209">
        <f>(77876.23+81112.03+127895.04)/1000</f>
        <v>286.88329999999996</v>
      </c>
      <c r="G65" s="209">
        <f t="shared" si="7"/>
        <v>286.88329999999996</v>
      </c>
      <c r="H65" s="219" t="e">
        <f t="shared" si="8"/>
        <v>#DIV/0!</v>
      </c>
      <c r="I65" s="244"/>
    </row>
    <row r="66" spans="1:11" s="2" customFormat="1" ht="23.25" customHeight="1">
      <c r="A66" s="213" t="s">
        <v>497</v>
      </c>
      <c r="B66" s="6" t="s">
        <v>494</v>
      </c>
      <c r="C66" s="117"/>
      <c r="D66" s="209">
        <f>5620+F66</f>
        <v>9180.4178200000006</v>
      </c>
      <c r="E66" s="209">
        <v>0</v>
      </c>
      <c r="F66" s="209">
        <f>(2443510.95+1100115.03+16791.84)/1000</f>
        <v>3560.4178200000001</v>
      </c>
      <c r="G66" s="209">
        <f t="shared" si="7"/>
        <v>3560.4178200000001</v>
      </c>
      <c r="H66" s="219" t="e">
        <f t="shared" si="8"/>
        <v>#DIV/0!</v>
      </c>
      <c r="I66" s="244"/>
    </row>
    <row r="67" spans="1:11" s="2" customFormat="1" ht="23.25" customHeight="1">
      <c r="A67" s="93" t="s">
        <v>71</v>
      </c>
      <c r="B67" s="9">
        <v>1080</v>
      </c>
      <c r="C67" s="155">
        <f>SUM(C69:C74)</f>
        <v>0</v>
      </c>
      <c r="D67" s="212">
        <f>SUM(D69:D73)</f>
        <v>-942.21015</v>
      </c>
      <c r="E67" s="212">
        <f>SUM(E68:E73)</f>
        <v>-186.5</v>
      </c>
      <c r="F67" s="212">
        <f>SUM(F69:F73)</f>
        <v>-556</v>
      </c>
      <c r="G67" s="209">
        <f t="shared" si="7"/>
        <v>-369.5</v>
      </c>
      <c r="H67" s="219">
        <f>(F67/E67)*100</f>
        <v>298.12332439678289</v>
      </c>
      <c r="I67" s="244"/>
    </row>
    <row r="68" spans="1:11" s="2" customFormat="1" ht="21" customHeight="1">
      <c r="A68" s="8" t="s">
        <v>148</v>
      </c>
      <c r="B68" s="9">
        <v>1081</v>
      </c>
      <c r="C68" s="117" t="s">
        <v>223</v>
      </c>
      <c r="D68" s="209" t="s">
        <v>223</v>
      </c>
      <c r="E68" s="209" t="s">
        <v>223</v>
      </c>
      <c r="F68" s="209" t="s">
        <v>223</v>
      </c>
      <c r="G68" s="209" t="e">
        <f>#REF!-#REF!</f>
        <v>#REF!</v>
      </c>
      <c r="H68" s="219" t="e">
        <f t="shared" si="8"/>
        <v>#VALUE!</v>
      </c>
      <c r="I68" s="244"/>
    </row>
    <row r="69" spans="1:11" s="2" customFormat="1" ht="20.100000000000001" customHeight="1">
      <c r="A69" s="8" t="s">
        <v>351</v>
      </c>
      <c r="B69" s="9">
        <v>1082</v>
      </c>
      <c r="C69" s="117" t="s">
        <v>223</v>
      </c>
      <c r="D69" s="209" t="s">
        <v>223</v>
      </c>
      <c r="E69" s="209" t="s">
        <v>223</v>
      </c>
      <c r="F69" s="209" t="s">
        <v>223</v>
      </c>
      <c r="G69" s="209" t="e">
        <f t="shared" ref="G69:G75" si="9">F69-E69</f>
        <v>#VALUE!</v>
      </c>
      <c r="H69" s="219" t="e">
        <f t="shared" si="2"/>
        <v>#VALUE!</v>
      </c>
      <c r="I69" s="244"/>
    </row>
    <row r="70" spans="1:11" s="2" customFormat="1" ht="20.100000000000001" customHeight="1">
      <c r="A70" s="8" t="s">
        <v>62</v>
      </c>
      <c r="B70" s="9">
        <v>1083</v>
      </c>
      <c r="C70" s="117" t="s">
        <v>223</v>
      </c>
      <c r="D70" s="209" t="s">
        <v>223</v>
      </c>
      <c r="E70" s="209" t="s">
        <v>223</v>
      </c>
      <c r="F70" s="209" t="s">
        <v>223</v>
      </c>
      <c r="G70" s="209" t="e">
        <f t="shared" si="9"/>
        <v>#VALUE!</v>
      </c>
      <c r="H70" s="219" t="e">
        <f t="shared" si="2"/>
        <v>#VALUE!</v>
      </c>
      <c r="I70" s="244"/>
    </row>
    <row r="71" spans="1:11" s="2" customFormat="1" ht="20.100000000000001" customHeight="1">
      <c r="A71" s="8" t="s">
        <v>47</v>
      </c>
      <c r="B71" s="9">
        <v>1084</v>
      </c>
      <c r="C71" s="117" t="s">
        <v>223</v>
      </c>
      <c r="D71" s="209" t="s">
        <v>223</v>
      </c>
      <c r="E71" s="209" t="s">
        <v>223</v>
      </c>
      <c r="F71" s="209" t="s">
        <v>223</v>
      </c>
      <c r="G71" s="209" t="e">
        <f t="shared" si="9"/>
        <v>#VALUE!</v>
      </c>
      <c r="H71" s="219" t="e">
        <f t="shared" si="2"/>
        <v>#VALUE!</v>
      </c>
      <c r="I71" s="244"/>
    </row>
    <row r="72" spans="1:11" s="2" customFormat="1" ht="20.100000000000001" customHeight="1">
      <c r="A72" s="8" t="s">
        <v>53</v>
      </c>
      <c r="B72" s="9">
        <v>1085</v>
      </c>
      <c r="C72" s="117" t="s">
        <v>223</v>
      </c>
      <c r="D72" s="209" t="s">
        <v>223</v>
      </c>
      <c r="E72" s="209" t="s">
        <v>223</v>
      </c>
      <c r="F72" s="209" t="s">
        <v>223</v>
      </c>
      <c r="G72" s="209" t="e">
        <f t="shared" si="9"/>
        <v>#VALUE!</v>
      </c>
      <c r="H72" s="219" t="e">
        <f t="shared" si="2"/>
        <v>#VALUE!</v>
      </c>
      <c r="I72" s="244"/>
    </row>
    <row r="73" spans="1:11" s="2" customFormat="1" ht="20.100000000000001" customHeight="1">
      <c r="A73" s="8" t="s">
        <v>174</v>
      </c>
      <c r="B73" s="9">
        <v>1086</v>
      </c>
      <c r="C73" s="117" t="s">
        <v>223</v>
      </c>
      <c r="D73" s="209">
        <f>SUM(D74:D75)</f>
        <v>-942.21015</v>
      </c>
      <c r="E73" s="209">
        <f>SUM(E74:E75)</f>
        <v>-186.5</v>
      </c>
      <c r="F73" s="209">
        <f>SUM(F74:F75)</f>
        <v>-556</v>
      </c>
      <c r="G73" s="209">
        <f t="shared" si="9"/>
        <v>-369.5</v>
      </c>
      <c r="H73" s="219">
        <f>(F73/E73)*100</f>
        <v>298.12332439678289</v>
      </c>
      <c r="I73" s="244"/>
    </row>
    <row r="74" spans="1:11" s="2" customFormat="1" ht="20.100000000000001" customHeight="1">
      <c r="A74" s="213" t="s">
        <v>464</v>
      </c>
      <c r="B74" s="9" t="s">
        <v>470</v>
      </c>
      <c r="C74" s="117">
        <f>SUM(C75:C75)</f>
        <v>0</v>
      </c>
      <c r="D74" s="314">
        <f>(-78616.27-7593.88)/1000+F74</f>
        <v>-121.61015</v>
      </c>
      <c r="E74" s="314">
        <v>-111.6</v>
      </c>
      <c r="F74" s="255">
        <f>-35.4</f>
        <v>-35.4</v>
      </c>
      <c r="G74" s="314">
        <f t="shared" si="9"/>
        <v>76.199999999999989</v>
      </c>
      <c r="H74" s="328">
        <f>(F74/E74)*100</f>
        <v>31.72043010752688</v>
      </c>
      <c r="I74" s="329"/>
      <c r="J74" s="270"/>
      <c r="K74" s="270"/>
    </row>
    <row r="75" spans="1:11" s="2" customFormat="1" ht="20.100000000000001" customHeight="1">
      <c r="A75" s="213" t="s">
        <v>466</v>
      </c>
      <c r="B75" s="6" t="s">
        <v>471</v>
      </c>
      <c r="C75" s="117" t="s">
        <v>223</v>
      </c>
      <c r="D75" s="314">
        <f>(-190028.5-109971.5)/1000+F75</f>
        <v>-820.6</v>
      </c>
      <c r="E75" s="314">
        <v>-74.900000000000006</v>
      </c>
      <c r="F75" s="255">
        <f>-520.6</f>
        <v>-520.6</v>
      </c>
      <c r="G75" s="314">
        <f t="shared" si="9"/>
        <v>-445.70000000000005</v>
      </c>
      <c r="H75" s="328">
        <f>(F75/E75)*100</f>
        <v>695.0600801068091</v>
      </c>
      <c r="I75" s="329"/>
      <c r="J75" s="270"/>
      <c r="K75" s="270"/>
    </row>
    <row r="76" spans="1:11" s="2" customFormat="1" ht="20.100000000000001" customHeight="1">
      <c r="A76" s="10" t="s">
        <v>4</v>
      </c>
      <c r="B76" s="151">
        <v>1100</v>
      </c>
      <c r="C76" s="124" t="e">
        <f>SUM(C22,C23,#REF!,C54,C67)</f>
        <v>#REF!</v>
      </c>
      <c r="D76" s="211">
        <f>SUM(D22,D23,D54,D67)</f>
        <v>-1886.3096899999955</v>
      </c>
      <c r="E76" s="211">
        <f>SUM(E22,E23,E54,E67)</f>
        <v>0</v>
      </c>
      <c r="F76" s="211">
        <f>SUM(F22,F23,F54,F67)</f>
        <v>-7714.3245899999965</v>
      </c>
      <c r="G76" s="211">
        <f>SUM(G22,G23,G54,G67)</f>
        <v>-7714.3245899999965</v>
      </c>
      <c r="H76" s="211">
        <f>SUM(H22,H23,H54,H67)</f>
        <v>680.60159020361334</v>
      </c>
      <c r="I76" s="97"/>
    </row>
    <row r="77" spans="1:11" s="5" customFormat="1" ht="19.5" customHeight="1">
      <c r="A77" s="8" t="s">
        <v>93</v>
      </c>
      <c r="B77" s="11">
        <v>1110</v>
      </c>
      <c r="C77" s="117"/>
      <c r="D77" s="209"/>
      <c r="E77" s="209"/>
      <c r="F77" s="209"/>
      <c r="G77" s="209">
        <f t="shared" ref="G77:G86" si="10">F77-E77</f>
        <v>0</v>
      </c>
      <c r="H77" s="219" t="e">
        <f t="shared" ref="H77:H86" si="11">(F77/E77)*100</f>
        <v>#DIV/0!</v>
      </c>
      <c r="I77" s="98"/>
    </row>
    <row r="78" spans="1:11" ht="20.100000000000001" customHeight="1">
      <c r="A78" s="8" t="s">
        <v>97</v>
      </c>
      <c r="B78" s="9">
        <v>1120</v>
      </c>
      <c r="C78" s="117" t="s">
        <v>223</v>
      </c>
      <c r="D78" s="209" t="s">
        <v>223</v>
      </c>
      <c r="E78" s="209" t="s">
        <v>223</v>
      </c>
      <c r="F78" s="209" t="s">
        <v>223</v>
      </c>
      <c r="G78" s="209" t="e">
        <f t="shared" si="10"/>
        <v>#VALUE!</v>
      </c>
      <c r="H78" s="219" t="e">
        <f t="shared" si="11"/>
        <v>#VALUE!</v>
      </c>
      <c r="I78" s="97"/>
    </row>
    <row r="79" spans="1:11" ht="20.100000000000001" customHeight="1">
      <c r="A79" s="8" t="s">
        <v>94</v>
      </c>
      <c r="B79" s="9">
        <v>1130</v>
      </c>
      <c r="C79" s="117"/>
      <c r="D79" s="209"/>
      <c r="E79" s="209"/>
      <c r="F79" s="209"/>
      <c r="G79" s="209">
        <f t="shared" si="10"/>
        <v>0</v>
      </c>
      <c r="H79" s="219" t="e">
        <f t="shared" si="11"/>
        <v>#DIV/0!</v>
      </c>
      <c r="I79" s="97"/>
    </row>
    <row r="80" spans="1:11" ht="20.100000000000001" customHeight="1">
      <c r="A80" s="8" t="s">
        <v>96</v>
      </c>
      <c r="B80" s="9">
        <v>1140</v>
      </c>
      <c r="C80" s="117" t="s">
        <v>223</v>
      </c>
      <c r="D80" s="209" t="s">
        <v>223</v>
      </c>
      <c r="E80" s="209" t="s">
        <v>223</v>
      </c>
      <c r="F80" s="209" t="s">
        <v>223</v>
      </c>
      <c r="G80" s="209" t="e">
        <f t="shared" si="10"/>
        <v>#VALUE!</v>
      </c>
      <c r="H80" s="219" t="e">
        <f t="shared" si="11"/>
        <v>#VALUE!</v>
      </c>
      <c r="I80" s="97"/>
    </row>
    <row r="81" spans="1:9" ht="20.100000000000001" customHeight="1">
      <c r="A81" s="8" t="s">
        <v>246</v>
      </c>
      <c r="B81" s="9">
        <v>1150</v>
      </c>
      <c r="C81" s="155">
        <f>SUM(C82:C83)</f>
        <v>0</v>
      </c>
      <c r="D81" s="212">
        <f>SUM(D82:D83)</f>
        <v>0</v>
      </c>
      <c r="E81" s="212">
        <f>SUM(E82:E83)</f>
        <v>0</v>
      </c>
      <c r="F81" s="212">
        <f>SUM(F82:F83)</f>
        <v>0</v>
      </c>
      <c r="G81" s="209">
        <f t="shared" si="10"/>
        <v>0</v>
      </c>
      <c r="H81" s="219" t="e">
        <f t="shared" si="11"/>
        <v>#DIV/0!</v>
      </c>
      <c r="I81" s="97"/>
    </row>
    <row r="82" spans="1:9" ht="20.100000000000001" customHeight="1">
      <c r="A82" s="8" t="s">
        <v>148</v>
      </c>
      <c r="B82" s="9">
        <v>1151</v>
      </c>
      <c r="C82" s="117"/>
      <c r="D82" s="209"/>
      <c r="E82" s="209"/>
      <c r="F82" s="209"/>
      <c r="G82" s="209">
        <f t="shared" si="10"/>
        <v>0</v>
      </c>
      <c r="H82" s="219" t="e">
        <f t="shared" si="11"/>
        <v>#DIV/0!</v>
      </c>
      <c r="I82" s="97"/>
    </row>
    <row r="83" spans="1:9" ht="20.100000000000001" customHeight="1">
      <c r="A83" s="8" t="s">
        <v>247</v>
      </c>
      <c r="B83" s="9">
        <v>1152</v>
      </c>
      <c r="C83" s="117"/>
      <c r="D83" s="209"/>
      <c r="E83" s="209"/>
      <c r="F83" s="209"/>
      <c r="G83" s="209">
        <f t="shared" si="10"/>
        <v>0</v>
      </c>
      <c r="H83" s="219" t="e">
        <f t="shared" si="11"/>
        <v>#DIV/0!</v>
      </c>
      <c r="I83" s="97"/>
    </row>
    <row r="84" spans="1:9" ht="20.100000000000001" customHeight="1">
      <c r="A84" s="8" t="s">
        <v>248</v>
      </c>
      <c r="B84" s="9">
        <v>1160</v>
      </c>
      <c r="C84" s="155">
        <f>SUM(C85:C86)</f>
        <v>0</v>
      </c>
      <c r="D84" s="212">
        <f>SUM(D85:D86)</f>
        <v>0</v>
      </c>
      <c r="E84" s="212">
        <f>SUM(E85:E86)</f>
        <v>0</v>
      </c>
      <c r="F84" s="212">
        <f>SUM(F85:F86)</f>
        <v>0</v>
      </c>
      <c r="G84" s="209">
        <f>F84-E84</f>
        <v>0</v>
      </c>
      <c r="H84" s="219" t="e">
        <f t="shared" si="11"/>
        <v>#DIV/0!</v>
      </c>
      <c r="I84" s="97"/>
    </row>
    <row r="85" spans="1:9" ht="20.100000000000001" customHeight="1">
      <c r="A85" s="8" t="s">
        <v>148</v>
      </c>
      <c r="B85" s="9">
        <v>1161</v>
      </c>
      <c r="C85" s="117" t="s">
        <v>223</v>
      </c>
      <c r="D85" s="209" t="s">
        <v>223</v>
      </c>
      <c r="E85" s="209" t="s">
        <v>223</v>
      </c>
      <c r="F85" s="209" t="s">
        <v>223</v>
      </c>
      <c r="G85" s="209" t="e">
        <f t="shared" si="10"/>
        <v>#VALUE!</v>
      </c>
      <c r="H85" s="219" t="e">
        <f t="shared" si="11"/>
        <v>#VALUE!</v>
      </c>
      <c r="I85" s="97"/>
    </row>
    <row r="86" spans="1:9" ht="20.100000000000001" customHeight="1">
      <c r="A86" s="8" t="s">
        <v>103</v>
      </c>
      <c r="B86" s="9">
        <v>1162</v>
      </c>
      <c r="C86" s="117" t="s">
        <v>223</v>
      </c>
      <c r="D86" s="209" t="s">
        <v>223</v>
      </c>
      <c r="E86" s="209" t="s">
        <v>223</v>
      </c>
      <c r="F86" s="209" t="s">
        <v>223</v>
      </c>
      <c r="G86" s="209" t="e">
        <f t="shared" si="10"/>
        <v>#VALUE!</v>
      </c>
      <c r="H86" s="219" t="e">
        <f t="shared" si="11"/>
        <v>#VALUE!</v>
      </c>
      <c r="I86" s="97"/>
    </row>
    <row r="87" spans="1:9" ht="20.100000000000001" customHeight="1">
      <c r="A87" s="225" t="s">
        <v>82</v>
      </c>
      <c r="B87" s="11">
        <v>1170</v>
      </c>
      <c r="C87" s="222" t="e">
        <f>SUM(C76:C81,C84)</f>
        <v>#REF!</v>
      </c>
      <c r="D87" s="211">
        <f>SUM(D76:D81,D84)</f>
        <v>-1886.3096899999955</v>
      </c>
      <c r="E87" s="211">
        <f>SUM(E76:E81,E84)</f>
        <v>0</v>
      </c>
      <c r="F87" s="211">
        <f>SUM(F76:F81,F84)</f>
        <v>-7714.3245899999965</v>
      </c>
      <c r="G87" s="220">
        <f>F87-E87</f>
        <v>-7714.3245899999965</v>
      </c>
      <c r="H87" s="248" t="e">
        <f>(F87/E87)*100</f>
        <v>#DIV/0!</v>
      </c>
      <c r="I87" s="97"/>
    </row>
    <row r="88" spans="1:9" s="5" customFormat="1" ht="20.100000000000001" customHeight="1">
      <c r="A88" s="227" t="s">
        <v>239</v>
      </c>
      <c r="B88" s="233">
        <v>1180</v>
      </c>
      <c r="C88" s="210" t="s">
        <v>223</v>
      </c>
      <c r="D88" s="209" t="s">
        <v>223</v>
      </c>
      <c r="E88" s="209" t="s">
        <v>223</v>
      </c>
      <c r="F88" s="209" t="s">
        <v>223</v>
      </c>
      <c r="G88" s="340" t="e">
        <f t="shared" ref="G88:G94" si="12">F88-E88</f>
        <v>#VALUE!</v>
      </c>
      <c r="H88" s="219" t="e">
        <f t="shared" ref="H88:H94" si="13">(F88/E88)*100</f>
        <v>#VALUE!</v>
      </c>
      <c r="I88" s="226"/>
    </row>
    <row r="89" spans="1:9" ht="20.100000000000001" customHeight="1">
      <c r="A89" s="227" t="s">
        <v>240</v>
      </c>
      <c r="B89" s="234">
        <v>1181</v>
      </c>
      <c r="C89" s="210" t="s">
        <v>223</v>
      </c>
      <c r="D89" s="209" t="s">
        <v>223</v>
      </c>
      <c r="E89" s="209" t="s">
        <v>223</v>
      </c>
      <c r="F89" s="209" t="s">
        <v>223</v>
      </c>
      <c r="G89" s="340" t="e">
        <f t="shared" si="12"/>
        <v>#VALUE!</v>
      </c>
      <c r="H89" s="219" t="e">
        <f t="shared" si="13"/>
        <v>#VALUE!</v>
      </c>
      <c r="I89" s="228"/>
    </row>
    <row r="90" spans="1:9" ht="20.100000000000001" customHeight="1">
      <c r="A90" s="227" t="s">
        <v>241</v>
      </c>
      <c r="B90" s="234">
        <v>1190</v>
      </c>
      <c r="C90" s="210" t="s">
        <v>223</v>
      </c>
      <c r="D90" s="209" t="s">
        <v>223</v>
      </c>
      <c r="E90" s="209" t="s">
        <v>223</v>
      </c>
      <c r="F90" s="209" t="s">
        <v>223</v>
      </c>
      <c r="G90" s="340" t="e">
        <f t="shared" si="12"/>
        <v>#VALUE!</v>
      </c>
      <c r="H90" s="219" t="e">
        <f t="shared" si="13"/>
        <v>#VALUE!</v>
      </c>
      <c r="I90" s="228"/>
    </row>
    <row r="91" spans="1:9" ht="20.100000000000001" customHeight="1">
      <c r="A91" s="227" t="s">
        <v>242</v>
      </c>
      <c r="B91" s="233">
        <v>1191</v>
      </c>
      <c r="C91" s="210" t="s">
        <v>223</v>
      </c>
      <c r="D91" s="209" t="s">
        <v>223</v>
      </c>
      <c r="E91" s="209" t="s">
        <v>223</v>
      </c>
      <c r="F91" s="209" t="s">
        <v>223</v>
      </c>
      <c r="G91" s="340" t="e">
        <f t="shared" si="12"/>
        <v>#VALUE!</v>
      </c>
      <c r="H91" s="219" t="e">
        <f t="shared" si="13"/>
        <v>#VALUE!</v>
      </c>
      <c r="I91" s="228"/>
    </row>
    <row r="92" spans="1:9" ht="20.100000000000001" customHeight="1">
      <c r="A92" s="225" t="s">
        <v>261</v>
      </c>
      <c r="B92" s="246">
        <v>1200</v>
      </c>
      <c r="C92" s="222" t="e">
        <f>SUM(C87:C91)</f>
        <v>#REF!</v>
      </c>
      <c r="D92" s="211">
        <f>SUM(D87:D91)</f>
        <v>-1886.3096899999955</v>
      </c>
      <c r="E92" s="211">
        <f>SUM(E87:E91)</f>
        <v>0</v>
      </c>
      <c r="F92" s="211">
        <f>SUM(F87:F91)</f>
        <v>-7714.3245899999965</v>
      </c>
      <c r="G92" s="220">
        <f>F92-E92</f>
        <v>-7714.3245899999965</v>
      </c>
      <c r="H92" s="248" t="e">
        <f>(F92/E92)*100</f>
        <v>#DIV/0!</v>
      </c>
      <c r="I92" s="228"/>
    </row>
    <row r="93" spans="1:9" s="5" customFormat="1" ht="20.100000000000001" customHeight="1">
      <c r="A93" s="227" t="s">
        <v>25</v>
      </c>
      <c r="B93" s="233">
        <v>1201</v>
      </c>
      <c r="C93" s="210"/>
      <c r="D93" s="209"/>
      <c r="E93" s="209"/>
      <c r="F93" s="209"/>
      <c r="G93" s="209">
        <f t="shared" si="12"/>
        <v>0</v>
      </c>
      <c r="H93" s="219" t="e">
        <f t="shared" si="13"/>
        <v>#DIV/0!</v>
      </c>
      <c r="I93" s="245"/>
    </row>
    <row r="94" spans="1:9" ht="20.100000000000001" customHeight="1">
      <c r="A94" s="227" t="s">
        <v>26</v>
      </c>
      <c r="B94" s="234">
        <v>1202</v>
      </c>
      <c r="C94" s="210" t="s">
        <v>223</v>
      </c>
      <c r="D94" s="209" t="s">
        <v>223</v>
      </c>
      <c r="E94" s="209" t="s">
        <v>223</v>
      </c>
      <c r="F94" s="209" t="s">
        <v>223</v>
      </c>
      <c r="G94" s="209" t="e">
        <f t="shared" si="12"/>
        <v>#VALUE!</v>
      </c>
      <c r="H94" s="219" t="e">
        <f t="shared" si="13"/>
        <v>#VALUE!</v>
      </c>
      <c r="I94" s="227"/>
    </row>
    <row r="95" spans="1:9" ht="20.100000000000001" customHeight="1">
      <c r="A95" s="225" t="s">
        <v>19</v>
      </c>
      <c r="B95" s="234">
        <v>1210</v>
      </c>
      <c r="C95" s="229">
        <f>SUM(C7,C54,C77,C79,C81,C89,C90)</f>
        <v>0</v>
      </c>
      <c r="D95" s="243">
        <f>SUM(D7,D54,D77,D79,D81,D89,D90)</f>
        <v>52173.526689999999</v>
      </c>
      <c r="E95" s="243">
        <f>SUM(E7,E54,E77,E79,E81,E89,E90)</f>
        <v>17649.8</v>
      </c>
      <c r="F95" s="243">
        <f>SUM(F7,F54,F77,F79,F81,F89,F90)</f>
        <v>21629.506690000002</v>
      </c>
      <c r="G95" s="220">
        <f>F95-E95</f>
        <v>3979.7066900000027</v>
      </c>
      <c r="H95" s="248">
        <f>(F95/E95)*100</f>
        <v>122.54816876111911</v>
      </c>
      <c r="I95" s="227"/>
    </row>
    <row r="96" spans="1:9" s="5" customFormat="1" ht="20.100000000000001" customHeight="1">
      <c r="A96" s="225" t="s">
        <v>100</v>
      </c>
      <c r="B96" s="232">
        <v>1220</v>
      </c>
      <c r="C96" s="229" t="e">
        <f>SUM(C8,C23,#REF!,C67,C78,C80,C84,C88,C91)</f>
        <v>#REF!</v>
      </c>
      <c r="D96" s="243">
        <f>SUM(D8,D23,D67,D78,D80,D84,D88,D91)</f>
        <v>-54059.836380000001</v>
      </c>
      <c r="E96" s="243">
        <f>SUM(E8,E23,E67,E78,E80,E84,E88,E91)</f>
        <v>-17649.8</v>
      </c>
      <c r="F96" s="243">
        <f>SUM(F8,F23,F67,F78,F80,F84,F88,F91)</f>
        <v>-29343.831279999995</v>
      </c>
      <c r="G96" s="243" t="e">
        <f>SUM(G8,G23,G67,G78,G80,G84,G88,G91)</f>
        <v>#VALUE!</v>
      </c>
      <c r="H96" s="243" t="e">
        <f>SUM(H8,H23,H67,H78,H80,H84,H88,H91)</f>
        <v>#VALUE!</v>
      </c>
      <c r="I96" s="226"/>
    </row>
    <row r="97" spans="1:9" s="5" customFormat="1" ht="20.100000000000001" customHeight="1">
      <c r="A97" s="227" t="s">
        <v>175</v>
      </c>
      <c r="B97" s="232">
        <v>1230</v>
      </c>
      <c r="C97" s="210"/>
      <c r="D97" s="209"/>
      <c r="E97" s="209"/>
      <c r="F97" s="209"/>
      <c r="G97" s="209">
        <f>F97-E97</f>
        <v>0</v>
      </c>
      <c r="H97" s="219"/>
      <c r="I97" s="226"/>
    </row>
    <row r="98" spans="1:9" ht="20.100000000000001" customHeight="1">
      <c r="A98" s="238" t="s">
        <v>525</v>
      </c>
      <c r="B98" s="233"/>
      <c r="C98" s="238"/>
      <c r="D98" s="289"/>
      <c r="E98" s="289"/>
      <c r="F98" s="289"/>
      <c r="G98" s="289"/>
      <c r="H98" s="289"/>
      <c r="I98" s="228"/>
    </row>
    <row r="99" spans="1:9" ht="24.95" customHeight="1">
      <c r="A99" s="227" t="s">
        <v>186</v>
      </c>
      <c r="B99" s="234">
        <v>1300</v>
      </c>
      <c r="C99" s="224" t="e">
        <f>C76</f>
        <v>#REF!</v>
      </c>
      <c r="D99" s="212">
        <f>D76</f>
        <v>-1886.3096899999955</v>
      </c>
      <c r="E99" s="212">
        <f>E76</f>
        <v>0</v>
      </c>
      <c r="F99" s="212">
        <f>F76</f>
        <v>-7714.3245899999965</v>
      </c>
      <c r="G99" s="209">
        <f>F99-E99</f>
        <v>-7714.3245899999965</v>
      </c>
      <c r="H99" s="219" t="e">
        <f>(F99/E99)*100</f>
        <v>#DIV/0!</v>
      </c>
      <c r="I99" s="238"/>
    </row>
    <row r="100" spans="1:9" ht="20.100000000000001" customHeight="1">
      <c r="A100" s="227" t="s">
        <v>313</v>
      </c>
      <c r="B100" s="233">
        <v>1301</v>
      </c>
      <c r="C100" s="224">
        <f>C112</f>
        <v>0</v>
      </c>
      <c r="D100" s="212">
        <f>D112</f>
        <v>-4300.9666799999995</v>
      </c>
      <c r="E100" s="212">
        <f>E112</f>
        <v>0</v>
      </c>
      <c r="F100" s="212">
        <f>F112</f>
        <v>-1514.35</v>
      </c>
      <c r="G100" s="209">
        <f>F100-E100</f>
        <v>-1514.35</v>
      </c>
      <c r="H100" s="219" t="e">
        <f>(F100/E100)*100</f>
        <v>#DIV/0!</v>
      </c>
      <c r="I100" s="228"/>
    </row>
    <row r="101" spans="1:9" ht="20.100000000000001" customHeight="1">
      <c r="A101" s="227" t="s">
        <v>314</v>
      </c>
      <c r="B101" s="233">
        <v>1302</v>
      </c>
      <c r="C101" s="224">
        <f>C55</f>
        <v>0</v>
      </c>
      <c r="D101" s="212">
        <f>D55</f>
        <v>0</v>
      </c>
      <c r="E101" s="212">
        <f>E55</f>
        <v>0</v>
      </c>
      <c r="F101" s="212">
        <f>F55</f>
        <v>0</v>
      </c>
      <c r="G101" s="209">
        <f t="shared" ref="G101:G105" si="14">F101-E101</f>
        <v>0</v>
      </c>
      <c r="H101" s="219" t="e">
        <f t="shared" ref="H101:H105" si="15">(F101/E101)*100</f>
        <v>#DIV/0!</v>
      </c>
      <c r="I101" s="228"/>
    </row>
    <row r="102" spans="1:9" ht="20.100000000000001" customHeight="1">
      <c r="A102" s="227" t="s">
        <v>315</v>
      </c>
      <c r="B102" s="233">
        <v>1303</v>
      </c>
      <c r="C102" s="224" t="str">
        <f>C69</f>
        <v>(    )</v>
      </c>
      <c r="D102" s="212" t="str">
        <f>D69</f>
        <v>(    )</v>
      </c>
      <c r="E102" s="212" t="str">
        <f>E69</f>
        <v>(    )</v>
      </c>
      <c r="F102" s="212" t="str">
        <f>F69</f>
        <v>(    )</v>
      </c>
      <c r="G102" s="209" t="e">
        <f t="shared" si="14"/>
        <v>#VALUE!</v>
      </c>
      <c r="H102" s="219" t="e">
        <f t="shared" si="15"/>
        <v>#VALUE!</v>
      </c>
      <c r="I102" s="228"/>
    </row>
    <row r="103" spans="1:9" ht="20.100000000000001" customHeight="1">
      <c r="A103" s="227" t="s">
        <v>316</v>
      </c>
      <c r="B103" s="233">
        <v>1304</v>
      </c>
      <c r="C103" s="224">
        <f>C56</f>
        <v>0</v>
      </c>
      <c r="D103" s="212">
        <f>D56</f>
        <v>0</v>
      </c>
      <c r="E103" s="212">
        <f>E56</f>
        <v>0</v>
      </c>
      <c r="F103" s="212">
        <f>F56</f>
        <v>0</v>
      </c>
      <c r="G103" s="209">
        <f t="shared" si="14"/>
        <v>0</v>
      </c>
      <c r="H103" s="219" t="e">
        <f t="shared" si="15"/>
        <v>#DIV/0!</v>
      </c>
      <c r="I103" s="228"/>
    </row>
    <row r="104" spans="1:9" ht="20.100000000000001" customHeight="1">
      <c r="A104" s="227" t="s">
        <v>317</v>
      </c>
      <c r="B104" s="233">
        <v>1305</v>
      </c>
      <c r="C104" s="224" t="str">
        <f>C70</f>
        <v>(    )</v>
      </c>
      <c r="D104" s="212" t="str">
        <f>D70</f>
        <v>(    )</v>
      </c>
      <c r="E104" s="212" t="str">
        <f>E70</f>
        <v>(    )</v>
      </c>
      <c r="F104" s="212" t="str">
        <f>F70</f>
        <v>(    )</v>
      </c>
      <c r="G104" s="209" t="e">
        <f t="shared" si="14"/>
        <v>#VALUE!</v>
      </c>
      <c r="H104" s="219" t="e">
        <f t="shared" si="15"/>
        <v>#VALUE!</v>
      </c>
      <c r="I104" s="228"/>
    </row>
    <row r="105" spans="1:9" ht="20.25" customHeight="1">
      <c r="A105" s="225" t="s">
        <v>117</v>
      </c>
      <c r="B105" s="232">
        <v>1310</v>
      </c>
      <c r="C105" s="230" t="e">
        <f>C99+C100-C101-C102-C103-C104</f>
        <v>#REF!</v>
      </c>
      <c r="D105" s="346" t="e">
        <f>D99+D100-D101-D102-D103-D104</f>
        <v>#VALUE!</v>
      </c>
      <c r="E105" s="346" t="e">
        <f>E99+E100-E101-E102-E103-E104</f>
        <v>#VALUE!</v>
      </c>
      <c r="F105" s="346" t="e">
        <f>F99+F100-F101-F102-F103-F104</f>
        <v>#VALUE!</v>
      </c>
      <c r="G105" s="220" t="e">
        <f t="shared" si="14"/>
        <v>#VALUE!</v>
      </c>
      <c r="H105" s="248" t="e">
        <f t="shared" si="15"/>
        <v>#VALUE!</v>
      </c>
      <c r="I105" s="228"/>
    </row>
    <row r="106" spans="1:9" s="5" customFormat="1" ht="20.100000000000001" customHeight="1">
      <c r="A106" s="239" t="s">
        <v>154</v>
      </c>
      <c r="B106" s="13"/>
      <c r="C106" s="240"/>
      <c r="D106" s="290"/>
      <c r="E106" s="290"/>
      <c r="F106" s="290"/>
      <c r="G106" s="290"/>
      <c r="H106" s="290"/>
      <c r="I106" s="226"/>
    </row>
    <row r="107" spans="1:9" s="5" customFormat="1" ht="20.100000000000001" customHeight="1">
      <c r="A107" s="227" t="s">
        <v>187</v>
      </c>
      <c r="B107" s="233">
        <v>1400</v>
      </c>
      <c r="C107" s="210"/>
      <c r="D107" s="209">
        <f>D108+D109</f>
        <v>-847.04525000000012</v>
      </c>
      <c r="E107" s="209">
        <f>E108+E109</f>
        <v>-396.15</v>
      </c>
      <c r="F107" s="209">
        <f>F108+F109</f>
        <v>-440.34190000000001</v>
      </c>
      <c r="G107" s="209">
        <f t="shared" ref="G107:G114" si="16">F107-E107</f>
        <v>-44.191900000000032</v>
      </c>
      <c r="H107" s="219">
        <f t="shared" ref="H107:H114" si="17">(F107/E107)*100</f>
        <v>111.15534519752619</v>
      </c>
      <c r="I107" s="241"/>
    </row>
    <row r="108" spans="1:9" s="5" customFormat="1" ht="20.100000000000001" customHeight="1">
      <c r="A108" s="227" t="s">
        <v>188</v>
      </c>
      <c r="B108" s="235">
        <v>1401</v>
      </c>
      <c r="C108" s="210"/>
      <c r="D108" s="209"/>
      <c r="E108" s="209"/>
      <c r="F108" s="209"/>
      <c r="G108" s="209">
        <f t="shared" si="16"/>
        <v>0</v>
      </c>
      <c r="H108" s="219" t="e">
        <f t="shared" si="17"/>
        <v>#DIV/0!</v>
      </c>
      <c r="I108" s="228"/>
    </row>
    <row r="109" spans="1:9" s="5" customFormat="1" ht="20.100000000000001" customHeight="1">
      <c r="A109" s="227" t="s">
        <v>28</v>
      </c>
      <c r="B109" s="235">
        <v>1402</v>
      </c>
      <c r="C109" s="210"/>
      <c r="D109" s="209">
        <f>D10+D11</f>
        <v>-847.04525000000012</v>
      </c>
      <c r="E109" s="209">
        <f>E10+E11</f>
        <v>-396.15</v>
      </c>
      <c r="F109" s="209">
        <f>F10+F11</f>
        <v>-440.34190000000001</v>
      </c>
      <c r="G109" s="209">
        <f t="shared" si="16"/>
        <v>-44.191900000000032</v>
      </c>
      <c r="H109" s="219">
        <f t="shared" si="17"/>
        <v>111.15534519752619</v>
      </c>
      <c r="I109" s="227"/>
    </row>
    <row r="110" spans="1:9" s="5" customFormat="1" ht="20.100000000000001" customHeight="1">
      <c r="A110" s="227" t="s">
        <v>5</v>
      </c>
      <c r="B110" s="236">
        <v>1410</v>
      </c>
      <c r="C110" s="210"/>
      <c r="D110" s="209">
        <f t="shared" ref="D110:F111" si="18">D12+D31</f>
        <v>-24255.457160000002</v>
      </c>
      <c r="E110" s="209">
        <f t="shared" si="18"/>
        <v>-11686</v>
      </c>
      <c r="F110" s="209">
        <f t="shared" si="18"/>
        <v>-12409.1</v>
      </c>
      <c r="G110" s="209">
        <f t="shared" si="16"/>
        <v>-723.10000000000036</v>
      </c>
      <c r="H110" s="219">
        <f t="shared" si="17"/>
        <v>106.18774602087969</v>
      </c>
      <c r="I110" s="227"/>
    </row>
    <row r="111" spans="1:9" s="5" customFormat="1" ht="20.100000000000001" customHeight="1">
      <c r="A111" s="227" t="s">
        <v>6</v>
      </c>
      <c r="B111" s="236">
        <v>1420</v>
      </c>
      <c r="C111" s="210"/>
      <c r="D111" s="209">
        <f t="shared" si="18"/>
        <v>-5364.4604099999997</v>
      </c>
      <c r="E111" s="209">
        <f t="shared" si="18"/>
        <v>-2589.6499999999996</v>
      </c>
      <c r="F111" s="209">
        <f t="shared" si="18"/>
        <v>-2733.5</v>
      </c>
      <c r="G111" s="209">
        <f t="shared" si="16"/>
        <v>-143.85000000000036</v>
      </c>
      <c r="H111" s="219">
        <f t="shared" si="17"/>
        <v>105.55480470333831</v>
      </c>
      <c r="I111" s="228"/>
    </row>
    <row r="112" spans="1:9" s="5" customFormat="1" ht="20.100000000000001" customHeight="1">
      <c r="A112" s="227" t="s">
        <v>7</v>
      </c>
      <c r="B112" s="236">
        <v>1430</v>
      </c>
      <c r="C112" s="210"/>
      <c r="D112" s="209">
        <f>D15</f>
        <v>-4300.9666799999995</v>
      </c>
      <c r="E112" s="209"/>
      <c r="F112" s="209">
        <f>F15</f>
        <v>-1514.35</v>
      </c>
      <c r="G112" s="209">
        <f t="shared" si="16"/>
        <v>-1514.35</v>
      </c>
      <c r="H112" s="219" t="e">
        <f t="shared" si="17"/>
        <v>#DIV/0!</v>
      </c>
      <c r="I112" s="228"/>
    </row>
    <row r="113" spans="1:9" s="5" customFormat="1" ht="20.100000000000001" customHeight="1">
      <c r="A113" s="227" t="s">
        <v>472</v>
      </c>
      <c r="B113" s="236">
        <v>1440</v>
      </c>
      <c r="C113" s="210"/>
      <c r="D113" s="345">
        <f>D14+D16+D30+D67</f>
        <v>-19291.906879999999</v>
      </c>
      <c r="E113" s="209">
        <f>E14+E16+E30+E67</f>
        <v>-2978</v>
      </c>
      <c r="F113" s="209">
        <f>F14+F16+F30+F67</f>
        <v>-12246.539379999998</v>
      </c>
      <c r="G113" s="209">
        <f t="shared" si="16"/>
        <v>-9268.5393799999983</v>
      </c>
      <c r="H113" s="219">
        <f t="shared" si="17"/>
        <v>411.23369308260573</v>
      </c>
      <c r="I113" s="228"/>
    </row>
    <row r="114" spans="1:9" s="5" customFormat="1" ht="63.75" customHeight="1">
      <c r="A114" s="225" t="s">
        <v>49</v>
      </c>
      <c r="B114" s="237">
        <v>1450</v>
      </c>
      <c r="C114" s="231">
        <f>SUM(C107,C110:C113)</f>
        <v>0</v>
      </c>
      <c r="D114" s="247">
        <f>SUM(D107,D110:D113)</f>
        <v>-54059.836379999993</v>
      </c>
      <c r="E114" s="247">
        <f>SUM(E107,E110:E113)</f>
        <v>-17649.8</v>
      </c>
      <c r="F114" s="247">
        <f>SUM(F107,F110:F113)</f>
        <v>-29343.831279999999</v>
      </c>
      <c r="G114" s="220">
        <f t="shared" si="16"/>
        <v>-11694.031279999999</v>
      </c>
      <c r="H114" s="248">
        <f t="shared" si="17"/>
        <v>166.25588550578476</v>
      </c>
      <c r="I114" s="228"/>
    </row>
    <row r="115" spans="1:9" s="5" customFormat="1">
      <c r="A115" s="60"/>
      <c r="B115" s="13"/>
      <c r="I115" s="226"/>
    </row>
    <row r="116" spans="1:9" s="5" customFormat="1">
      <c r="A116" s="60"/>
      <c r="B116" s="70"/>
      <c r="C116" s="70"/>
      <c r="D116" s="70"/>
      <c r="E116" s="70"/>
      <c r="F116" s="70"/>
      <c r="G116" s="70"/>
      <c r="H116" s="70"/>
      <c r="I116" s="70"/>
    </row>
    <row r="117" spans="1:9" s="5" customFormat="1">
      <c r="A117" s="28"/>
      <c r="B117" s="70"/>
      <c r="C117" s="70"/>
      <c r="D117" s="70"/>
      <c r="E117" s="70"/>
      <c r="F117" s="70"/>
      <c r="G117" s="70"/>
      <c r="H117" s="70"/>
      <c r="I117" s="70"/>
    </row>
    <row r="118" spans="1:9">
      <c r="A118" s="349"/>
      <c r="B118" s="72"/>
      <c r="C118" s="72"/>
      <c r="D118" s="72"/>
      <c r="E118" s="350"/>
      <c r="F118" s="350"/>
      <c r="G118" s="350"/>
      <c r="H118" s="350"/>
    </row>
    <row r="119" spans="1:9" ht="27.75" customHeight="1">
      <c r="A119" s="353" t="s">
        <v>518</v>
      </c>
      <c r="B119" s="351"/>
      <c r="C119" s="389" t="s">
        <v>89</v>
      </c>
      <c r="D119" s="389"/>
      <c r="E119" s="352"/>
      <c r="F119" s="390" t="s">
        <v>510</v>
      </c>
      <c r="G119" s="390"/>
      <c r="H119" s="390"/>
      <c r="I119" s="3"/>
    </row>
    <row r="120" spans="1:9" s="2" customFormat="1">
      <c r="A120" s="25" t="s">
        <v>68</v>
      </c>
      <c r="B120" s="25"/>
      <c r="C120" s="384" t="s">
        <v>209</v>
      </c>
      <c r="D120" s="384"/>
      <c r="E120" s="285"/>
      <c r="F120" s="388" t="s">
        <v>85</v>
      </c>
      <c r="G120" s="388"/>
      <c r="H120" s="388"/>
    </row>
    <row r="121" spans="1:9">
      <c r="A121" s="28"/>
      <c r="E121" s="282"/>
      <c r="F121" s="282"/>
      <c r="G121" s="282"/>
      <c r="H121" s="282"/>
    </row>
    <row r="122" spans="1:9">
      <c r="A122" s="28"/>
      <c r="E122" s="282"/>
      <c r="F122" s="282"/>
      <c r="G122" s="282"/>
      <c r="H122" s="282"/>
    </row>
    <row r="123" spans="1:9">
      <c r="A123" s="28"/>
      <c r="E123" s="282"/>
      <c r="F123" s="282"/>
      <c r="G123" s="282"/>
      <c r="H123" s="282"/>
    </row>
    <row r="124" spans="1:9">
      <c r="A124" s="28"/>
      <c r="E124" s="282"/>
      <c r="F124" s="282"/>
      <c r="G124" s="282"/>
      <c r="H124" s="282"/>
    </row>
    <row r="125" spans="1:9">
      <c r="A125" s="28"/>
      <c r="E125" s="282"/>
      <c r="F125" s="282"/>
      <c r="G125" s="282"/>
      <c r="H125" s="282"/>
    </row>
    <row r="126" spans="1:9">
      <c r="A126" s="28"/>
      <c r="E126" s="282"/>
      <c r="F126" s="282"/>
      <c r="G126" s="282"/>
      <c r="H126" s="282"/>
    </row>
    <row r="127" spans="1:9">
      <c r="A127" s="28"/>
      <c r="E127" s="282"/>
      <c r="F127" s="282"/>
      <c r="G127" s="282"/>
      <c r="H127" s="282"/>
    </row>
    <row r="128" spans="1:9">
      <c r="A128" s="28"/>
      <c r="E128" s="282"/>
      <c r="F128" s="282"/>
      <c r="G128" s="282"/>
      <c r="H128" s="282"/>
    </row>
    <row r="129" spans="1:8">
      <c r="A129" s="28"/>
      <c r="E129" s="282"/>
      <c r="F129" s="282"/>
      <c r="G129" s="282"/>
      <c r="H129" s="282"/>
    </row>
    <row r="130" spans="1:8">
      <c r="A130" s="28"/>
    </row>
    <row r="131" spans="1:8">
      <c r="A131" s="28"/>
    </row>
    <row r="132" spans="1:8">
      <c r="A132" s="28"/>
    </row>
    <row r="133" spans="1:8">
      <c r="A133" s="28"/>
    </row>
    <row r="134" spans="1:8">
      <c r="A134" s="28"/>
    </row>
    <row r="135" spans="1:8">
      <c r="A135" s="28"/>
    </row>
    <row r="136" spans="1:8">
      <c r="A136" s="28"/>
    </row>
    <row r="137" spans="1:8">
      <c r="A137" s="28"/>
    </row>
    <row r="138" spans="1:8">
      <c r="A138" s="28"/>
    </row>
    <row r="139" spans="1:8">
      <c r="A139" s="28"/>
    </row>
    <row r="140" spans="1:8">
      <c r="A140" s="28"/>
    </row>
    <row r="141" spans="1:8">
      <c r="A141" s="28"/>
    </row>
    <row r="142" spans="1:8">
      <c r="A142" s="28"/>
    </row>
    <row r="143" spans="1:8">
      <c r="A143" s="28"/>
    </row>
    <row r="144" spans="1:8">
      <c r="A144" s="28"/>
    </row>
    <row r="145" spans="1:1">
      <c r="A145" s="28"/>
    </row>
    <row r="146" spans="1:1">
      <c r="A146" s="28"/>
    </row>
    <row r="147" spans="1:1">
      <c r="A147" s="28"/>
    </row>
    <row r="148" spans="1:1">
      <c r="A148" s="28"/>
    </row>
    <row r="149" spans="1:1">
      <c r="A149" s="28"/>
    </row>
    <row r="150" spans="1:1">
      <c r="A150" s="28"/>
    </row>
    <row r="151" spans="1:1">
      <c r="A151" s="28"/>
    </row>
    <row r="152" spans="1:1">
      <c r="A152" s="28"/>
    </row>
    <row r="153" spans="1:1">
      <c r="A153" s="28"/>
    </row>
    <row r="154" spans="1:1">
      <c r="A154" s="28"/>
    </row>
    <row r="155" spans="1:1">
      <c r="A155" s="28"/>
    </row>
    <row r="156" spans="1:1">
      <c r="A156" s="28"/>
    </row>
    <row r="157" spans="1:1">
      <c r="A157" s="28"/>
    </row>
    <row r="158" spans="1:1">
      <c r="A158" s="28"/>
    </row>
    <row r="159" spans="1:1">
      <c r="A159" s="28"/>
    </row>
    <row r="160" spans="1:1">
      <c r="A160" s="28"/>
    </row>
    <row r="161" spans="1:8">
      <c r="A161" s="28"/>
    </row>
    <row r="162" spans="1:8">
      <c r="A162" s="28"/>
    </row>
    <row r="163" spans="1:8">
      <c r="A163" s="28"/>
    </row>
    <row r="164" spans="1:8">
      <c r="A164" s="28"/>
    </row>
    <row r="165" spans="1:8">
      <c r="A165" s="28"/>
    </row>
    <row r="166" spans="1:8">
      <c r="A166" s="28"/>
      <c r="G166" s="282"/>
      <c r="H166" s="282"/>
    </row>
    <row r="167" spans="1:8">
      <c r="A167" s="28"/>
      <c r="G167" s="282"/>
      <c r="H167" s="282"/>
    </row>
    <row r="168" spans="1:8">
      <c r="A168" s="28"/>
      <c r="G168" s="282"/>
      <c r="H168" s="282"/>
    </row>
    <row r="169" spans="1:8">
      <c r="A169" s="28"/>
      <c r="G169" s="282"/>
      <c r="H169" s="282"/>
    </row>
    <row r="170" spans="1:8">
      <c r="A170" s="28"/>
      <c r="G170" s="282"/>
      <c r="H170" s="282"/>
    </row>
    <row r="171" spans="1:8">
      <c r="A171" s="28"/>
      <c r="G171" s="282"/>
      <c r="H171" s="282"/>
    </row>
    <row r="172" spans="1:8">
      <c r="A172" s="28"/>
      <c r="G172" s="282"/>
      <c r="H172" s="282"/>
    </row>
    <row r="173" spans="1:8">
      <c r="A173" s="28"/>
    </row>
    <row r="174" spans="1:8">
      <c r="A174" s="28"/>
    </row>
    <row r="175" spans="1:8">
      <c r="A175" s="28"/>
    </row>
    <row r="177" spans="1:1">
      <c r="A177" s="25"/>
    </row>
    <row r="178" spans="1:1">
      <c r="A178" s="53"/>
    </row>
    <row r="179" spans="1:1">
      <c r="A179" s="53"/>
    </row>
    <row r="180" spans="1:1">
      <c r="A180" s="53"/>
    </row>
    <row r="181" spans="1:1">
      <c r="A181" s="53"/>
    </row>
    <row r="182" spans="1:1">
      <c r="A182" s="53"/>
    </row>
    <row r="183" spans="1:1">
      <c r="A183" s="53"/>
    </row>
    <row r="184" spans="1:1">
      <c r="A184" s="53"/>
    </row>
    <row r="185" spans="1:1">
      <c r="A185" s="53"/>
    </row>
    <row r="186" spans="1:1">
      <c r="A186" s="53"/>
    </row>
    <row r="187" spans="1:1">
      <c r="A187" s="53"/>
    </row>
    <row r="188" spans="1:1">
      <c r="A188" s="53"/>
    </row>
    <row r="189" spans="1:1">
      <c r="A189" s="53"/>
    </row>
    <row r="190" spans="1:1">
      <c r="A190" s="53"/>
    </row>
    <row r="191" spans="1:1">
      <c r="A191" s="53"/>
    </row>
    <row r="192" spans="1:1">
      <c r="A192" s="53"/>
    </row>
    <row r="193" spans="1:1">
      <c r="A193" s="53"/>
    </row>
    <row r="194" spans="1:1">
      <c r="A194" s="53"/>
    </row>
    <row r="195" spans="1:1">
      <c r="A195" s="53"/>
    </row>
    <row r="196" spans="1:1">
      <c r="A196" s="53"/>
    </row>
    <row r="197" spans="1:1">
      <c r="A197" s="53"/>
    </row>
    <row r="198" spans="1:1">
      <c r="A198" s="53"/>
    </row>
    <row r="199" spans="1:1">
      <c r="A199" s="53"/>
    </row>
    <row r="200" spans="1:1">
      <c r="A200" s="53"/>
    </row>
    <row r="201" spans="1:1">
      <c r="A201" s="53"/>
    </row>
    <row r="202" spans="1:1">
      <c r="A202" s="53"/>
    </row>
    <row r="203" spans="1:1">
      <c r="A203" s="53"/>
    </row>
    <row r="204" spans="1:1">
      <c r="A204" s="53"/>
    </row>
    <row r="205" spans="1:1">
      <c r="A205" s="53"/>
    </row>
    <row r="206" spans="1:1">
      <c r="A206" s="53"/>
    </row>
    <row r="207" spans="1:1">
      <c r="A207" s="53"/>
    </row>
    <row r="208" spans="1:1">
      <c r="A208" s="53"/>
    </row>
    <row r="209" spans="1:1">
      <c r="A209" s="53"/>
    </row>
    <row r="210" spans="1:1">
      <c r="A210" s="53"/>
    </row>
    <row r="211" spans="1:1">
      <c r="A211" s="53"/>
    </row>
    <row r="212" spans="1:1">
      <c r="A212" s="53"/>
    </row>
    <row r="213" spans="1:1">
      <c r="A213" s="53"/>
    </row>
    <row r="214" spans="1:1">
      <c r="A214" s="53"/>
    </row>
    <row r="215" spans="1:1">
      <c r="A215" s="53"/>
    </row>
    <row r="216" spans="1:1">
      <c r="A216" s="53"/>
    </row>
    <row r="217" spans="1:1">
      <c r="A217" s="53"/>
    </row>
    <row r="218" spans="1:1">
      <c r="A218" s="53"/>
    </row>
    <row r="219" spans="1:1">
      <c r="A219" s="53"/>
    </row>
    <row r="220" spans="1:1">
      <c r="A220" s="53"/>
    </row>
    <row r="221" spans="1:1">
      <c r="A221" s="53"/>
    </row>
    <row r="222" spans="1:1">
      <c r="A222" s="53"/>
    </row>
    <row r="223" spans="1:1">
      <c r="A223" s="53"/>
    </row>
    <row r="224" spans="1:1">
      <c r="A224" s="53"/>
    </row>
    <row r="225" spans="1:1">
      <c r="A225" s="53"/>
    </row>
    <row r="226" spans="1:1">
      <c r="A226" s="53"/>
    </row>
    <row r="227" spans="1:1">
      <c r="A227" s="53"/>
    </row>
    <row r="228" spans="1:1">
      <c r="A228" s="53"/>
    </row>
    <row r="229" spans="1:1">
      <c r="A229" s="53"/>
    </row>
    <row r="230" spans="1:1">
      <c r="A230" s="53"/>
    </row>
    <row r="231" spans="1:1">
      <c r="A231" s="53"/>
    </row>
    <row r="232" spans="1:1">
      <c r="A232" s="53"/>
    </row>
    <row r="233" spans="1:1">
      <c r="A233" s="53"/>
    </row>
    <row r="234" spans="1:1">
      <c r="A234" s="53"/>
    </row>
    <row r="235" spans="1:1">
      <c r="A235" s="53"/>
    </row>
    <row r="236" spans="1:1">
      <c r="A236" s="53"/>
    </row>
    <row r="237" spans="1:1">
      <c r="A237" s="53"/>
    </row>
    <row r="238" spans="1:1">
      <c r="A238" s="53"/>
    </row>
    <row r="239" spans="1:1">
      <c r="A239" s="53"/>
    </row>
    <row r="240" spans="1:1">
      <c r="A240" s="53"/>
    </row>
    <row r="241" spans="1:1">
      <c r="A241" s="53"/>
    </row>
    <row r="242" spans="1:1">
      <c r="A242" s="53"/>
    </row>
    <row r="243" spans="1:1">
      <c r="A243" s="53"/>
    </row>
    <row r="244" spans="1:1">
      <c r="A244" s="53"/>
    </row>
    <row r="245" spans="1:1">
      <c r="A245" s="53"/>
    </row>
    <row r="246" spans="1:1">
      <c r="A246" s="53"/>
    </row>
    <row r="247" spans="1:1">
      <c r="A247" s="53"/>
    </row>
    <row r="248" spans="1:1">
      <c r="A248" s="53"/>
    </row>
    <row r="249" spans="1:1">
      <c r="A249" s="53"/>
    </row>
    <row r="250" spans="1:1">
      <c r="A250" s="53"/>
    </row>
    <row r="251" spans="1:1">
      <c r="A251" s="53"/>
    </row>
    <row r="252" spans="1:1">
      <c r="A252" s="53"/>
    </row>
    <row r="253" spans="1:1">
      <c r="A253" s="53"/>
    </row>
    <row r="254" spans="1:1">
      <c r="A254" s="53"/>
    </row>
    <row r="255" spans="1:1">
      <c r="A255" s="53"/>
    </row>
    <row r="256" spans="1:1">
      <c r="A256" s="53"/>
    </row>
    <row r="257" spans="1:1">
      <c r="A257" s="53"/>
    </row>
    <row r="258" spans="1:1">
      <c r="A258" s="53"/>
    </row>
    <row r="259" spans="1:1">
      <c r="A259" s="53"/>
    </row>
    <row r="260" spans="1:1">
      <c r="A260" s="53"/>
    </row>
    <row r="261" spans="1:1">
      <c r="A261" s="53"/>
    </row>
    <row r="262" spans="1:1">
      <c r="A262" s="53"/>
    </row>
    <row r="263" spans="1:1">
      <c r="A263" s="53"/>
    </row>
    <row r="264" spans="1:1">
      <c r="A264" s="53"/>
    </row>
    <row r="265" spans="1:1">
      <c r="A265" s="53"/>
    </row>
    <row r="266" spans="1:1">
      <c r="A266" s="53"/>
    </row>
    <row r="267" spans="1:1">
      <c r="A267" s="53"/>
    </row>
    <row r="268" spans="1:1">
      <c r="A268" s="53"/>
    </row>
    <row r="269" spans="1:1">
      <c r="A269" s="53"/>
    </row>
    <row r="270" spans="1:1">
      <c r="A270" s="53"/>
    </row>
    <row r="271" spans="1:1">
      <c r="A271" s="53"/>
    </row>
    <row r="272" spans="1:1">
      <c r="A272" s="53"/>
    </row>
    <row r="273" spans="1:1">
      <c r="A273" s="53"/>
    </row>
    <row r="274" spans="1:1">
      <c r="A274" s="53"/>
    </row>
    <row r="275" spans="1:1">
      <c r="A275" s="53"/>
    </row>
    <row r="276" spans="1:1">
      <c r="A276" s="53"/>
    </row>
    <row r="277" spans="1:1">
      <c r="A277" s="53"/>
    </row>
    <row r="278" spans="1:1">
      <c r="A278" s="53"/>
    </row>
    <row r="279" spans="1:1">
      <c r="A279" s="53"/>
    </row>
    <row r="280" spans="1:1">
      <c r="A280" s="53"/>
    </row>
    <row r="281" spans="1:1">
      <c r="A281" s="53"/>
    </row>
    <row r="282" spans="1:1">
      <c r="A282" s="53"/>
    </row>
    <row r="283" spans="1:1">
      <c r="A283" s="53"/>
    </row>
    <row r="284" spans="1:1">
      <c r="A284" s="53"/>
    </row>
    <row r="285" spans="1:1">
      <c r="A285" s="53"/>
    </row>
    <row r="286" spans="1:1">
      <c r="A286" s="53"/>
    </row>
    <row r="287" spans="1:1">
      <c r="A287" s="53"/>
    </row>
    <row r="288" spans="1:1">
      <c r="A288" s="53"/>
    </row>
    <row r="289" spans="1:1">
      <c r="A289" s="53"/>
    </row>
    <row r="290" spans="1:1">
      <c r="A290" s="53"/>
    </row>
    <row r="291" spans="1:1">
      <c r="A291" s="53"/>
    </row>
    <row r="292" spans="1:1">
      <c r="A292" s="53"/>
    </row>
    <row r="293" spans="1:1">
      <c r="A293" s="53"/>
    </row>
    <row r="294" spans="1:1">
      <c r="A294" s="53"/>
    </row>
    <row r="295" spans="1:1">
      <c r="A295" s="53"/>
    </row>
    <row r="296" spans="1:1">
      <c r="A296" s="53"/>
    </row>
    <row r="297" spans="1:1">
      <c r="A297" s="53"/>
    </row>
    <row r="298" spans="1:1">
      <c r="A298" s="53"/>
    </row>
    <row r="299" spans="1:1">
      <c r="A299" s="53"/>
    </row>
    <row r="300" spans="1:1">
      <c r="A300" s="53"/>
    </row>
    <row r="301" spans="1:1">
      <c r="A301" s="53"/>
    </row>
    <row r="302" spans="1:1">
      <c r="A302" s="53"/>
    </row>
    <row r="303" spans="1:1">
      <c r="A303" s="53"/>
    </row>
    <row r="304" spans="1:1">
      <c r="A304" s="53"/>
    </row>
    <row r="305" spans="1:1">
      <c r="A305" s="53"/>
    </row>
    <row r="306" spans="1:1">
      <c r="A306" s="53"/>
    </row>
    <row r="307" spans="1:1">
      <c r="A307" s="53"/>
    </row>
    <row r="308" spans="1:1">
      <c r="A308" s="53"/>
    </row>
    <row r="309" spans="1:1">
      <c r="A309" s="53"/>
    </row>
    <row r="310" spans="1:1">
      <c r="A310" s="53"/>
    </row>
    <row r="311" spans="1:1">
      <c r="A311" s="53"/>
    </row>
    <row r="312" spans="1:1">
      <c r="A312" s="53"/>
    </row>
    <row r="313" spans="1:1">
      <c r="A313" s="53"/>
    </row>
    <row r="314" spans="1:1">
      <c r="A314" s="53"/>
    </row>
    <row r="315" spans="1:1">
      <c r="A315" s="53"/>
    </row>
    <row r="316" spans="1:1">
      <c r="A316" s="53"/>
    </row>
    <row r="317" spans="1:1">
      <c r="A317" s="53"/>
    </row>
    <row r="318" spans="1:1">
      <c r="A318" s="53"/>
    </row>
    <row r="319" spans="1:1">
      <c r="A319" s="53"/>
    </row>
    <row r="320" spans="1:1">
      <c r="A320" s="53"/>
    </row>
    <row r="321" spans="1:1">
      <c r="A321" s="53"/>
    </row>
    <row r="322" spans="1:1">
      <c r="A322" s="53"/>
    </row>
    <row r="323" spans="1:1">
      <c r="A323" s="53"/>
    </row>
    <row r="324" spans="1:1">
      <c r="A324" s="53"/>
    </row>
    <row r="325" spans="1:1">
      <c r="A325" s="53"/>
    </row>
    <row r="326" spans="1:1">
      <c r="A326" s="53"/>
    </row>
    <row r="327" spans="1:1">
      <c r="A327" s="53"/>
    </row>
    <row r="328" spans="1:1">
      <c r="A328" s="53"/>
    </row>
    <row r="329" spans="1:1">
      <c r="A329" s="53"/>
    </row>
    <row r="330" spans="1:1">
      <c r="A330" s="53"/>
    </row>
    <row r="331" spans="1:1">
      <c r="A331" s="53"/>
    </row>
    <row r="332" spans="1:1">
      <c r="A332" s="53"/>
    </row>
    <row r="333" spans="1:1">
      <c r="A333" s="53"/>
    </row>
    <row r="334" spans="1:1">
      <c r="A334" s="53"/>
    </row>
    <row r="335" spans="1:1">
      <c r="A335" s="53"/>
    </row>
    <row r="336" spans="1:1">
      <c r="A336" s="53"/>
    </row>
    <row r="337" spans="1:1">
      <c r="A337" s="53"/>
    </row>
    <row r="338" spans="1:1">
      <c r="A338" s="53"/>
    </row>
    <row r="339" spans="1:1">
      <c r="A339" s="53"/>
    </row>
    <row r="340" spans="1:1">
      <c r="A340" s="53"/>
    </row>
    <row r="341" spans="1:1">
      <c r="A341" s="53"/>
    </row>
    <row r="342" spans="1:1">
      <c r="A342" s="53"/>
    </row>
    <row r="343" spans="1:1">
      <c r="A343" s="53"/>
    </row>
    <row r="344" spans="1:1">
      <c r="A344" s="53"/>
    </row>
  </sheetData>
  <mergeCells count="11">
    <mergeCell ref="A1:I1"/>
    <mergeCell ref="C3:D3"/>
    <mergeCell ref="E3:I3"/>
    <mergeCell ref="B3:B4"/>
    <mergeCell ref="A3:A4"/>
    <mergeCell ref="A6:I6"/>
    <mergeCell ref="I10:K10"/>
    <mergeCell ref="C120:D120"/>
    <mergeCell ref="F120:H120"/>
    <mergeCell ref="C119:D119"/>
    <mergeCell ref="F119:H119"/>
  </mergeCells>
  <phoneticPr fontId="0" type="noConversion"/>
  <pageMargins left="1.1811023622047245" right="0.39370078740157483" top="0.78740157480314965" bottom="0.78740157480314965" header="0.19685039370078741" footer="0.11811023622047245"/>
  <pageSetup paperSize="9" scale="36" orientation="landscape" verticalDpi="300" r:id="rId1"/>
  <headerFooter alignWithMargins="0">
    <oddHeader>&amp;C
&amp;"Times New Roman,обычный"&amp;14 5&amp;"Arial Cyr,обычный"&amp;10
&amp;R&amp;"Times New Roman,обычный"&amp;14Продовження додатка  3
Таблиця 1</oddHeader>
  </headerFooter>
  <rowBreaks count="1" manualBreakCount="1">
    <brk id="7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3"/>
  </sheetPr>
  <dimension ref="A1:K198"/>
  <sheetViews>
    <sheetView zoomScale="60" zoomScaleNormal="60" zoomScaleSheetLayoutView="75" workbookViewId="0">
      <pane xSplit="2" ySplit="4" topLeftCell="C23" activePane="bottomRight" state="frozen"/>
      <selection activeCell="F106" sqref="F106"/>
      <selection pane="topRight" activeCell="F106" sqref="F106"/>
      <selection pane="bottomLeft" activeCell="F106" sqref="F106"/>
      <selection pane="bottomRight" activeCell="A57" sqref="A57"/>
    </sheetView>
  </sheetViews>
  <sheetFormatPr defaultRowHeight="18.75"/>
  <cols>
    <col min="1" max="1" width="86.85546875" style="47" customWidth="1"/>
    <col min="2" max="2" width="15.28515625" style="50" customWidth="1"/>
    <col min="3" max="7" width="18.7109375" style="50" customWidth="1"/>
    <col min="8" max="8" width="15" style="50" customWidth="1"/>
    <col min="9" max="9" width="10" style="47" customWidth="1"/>
    <col min="10" max="10" width="13" style="47" customWidth="1"/>
    <col min="11" max="16384" width="9.140625" style="47"/>
  </cols>
  <sheetData>
    <row r="1" spans="1:11">
      <c r="A1" s="395" t="s">
        <v>120</v>
      </c>
      <c r="B1" s="395"/>
      <c r="C1" s="395"/>
      <c r="D1" s="395"/>
      <c r="E1" s="395"/>
      <c r="F1" s="395"/>
      <c r="G1" s="395"/>
      <c r="H1" s="395"/>
    </row>
    <row r="2" spans="1:11">
      <c r="A2" s="395"/>
      <c r="B2" s="395"/>
      <c r="C2" s="395"/>
      <c r="D2" s="395"/>
      <c r="E2" s="395"/>
      <c r="F2" s="395"/>
      <c r="G2" s="395"/>
      <c r="H2" s="395"/>
    </row>
    <row r="3" spans="1:11" ht="38.25" customHeight="1">
      <c r="A3" s="372" t="s">
        <v>189</v>
      </c>
      <c r="B3" s="392" t="s">
        <v>18</v>
      </c>
      <c r="C3" s="373" t="s">
        <v>318</v>
      </c>
      <c r="D3" s="373"/>
      <c r="E3" s="372" t="s">
        <v>455</v>
      </c>
      <c r="F3" s="372"/>
      <c r="G3" s="372"/>
      <c r="H3" s="372"/>
    </row>
    <row r="4" spans="1:11" ht="39" customHeight="1">
      <c r="A4" s="372"/>
      <c r="B4" s="392"/>
      <c r="C4" s="7" t="s">
        <v>176</v>
      </c>
      <c r="D4" s="7" t="s">
        <v>177</v>
      </c>
      <c r="E4" s="7" t="s">
        <v>178</v>
      </c>
      <c r="F4" s="7" t="s">
        <v>166</v>
      </c>
      <c r="G4" s="74" t="s">
        <v>184</v>
      </c>
      <c r="H4" s="74" t="s">
        <v>185</v>
      </c>
    </row>
    <row r="5" spans="1:11">
      <c r="A5" s="54">
        <v>1</v>
      </c>
      <c r="B5" s="55">
        <v>2</v>
      </c>
      <c r="C5" s="54">
        <v>3</v>
      </c>
      <c r="D5" s="55">
        <v>4</v>
      </c>
      <c r="E5" s="54">
        <v>5</v>
      </c>
      <c r="F5" s="55">
        <v>6</v>
      </c>
      <c r="G5" s="54">
        <v>7</v>
      </c>
      <c r="H5" s="55">
        <v>8</v>
      </c>
    </row>
    <row r="6" spans="1:11" ht="30" customHeight="1">
      <c r="A6" s="398" t="s">
        <v>119</v>
      </c>
      <c r="B6" s="398"/>
      <c r="C6" s="398"/>
      <c r="D6" s="398"/>
      <c r="E6" s="398"/>
      <c r="F6" s="398"/>
      <c r="G6" s="398"/>
      <c r="H6" s="398"/>
    </row>
    <row r="7" spans="1:11" ht="30" customHeight="1">
      <c r="A7" s="48" t="s">
        <v>269</v>
      </c>
      <c r="B7" s="55">
        <v>1200</v>
      </c>
      <c r="C7" s="189" t="e">
        <f>'I. Фін результат'!C92</f>
        <v>#REF!</v>
      </c>
      <c r="D7" s="263">
        <f>'I. Фін результат'!D92</f>
        <v>-1886.3096899999955</v>
      </c>
      <c r="E7" s="189">
        <f>'I. Фін результат'!E92</f>
        <v>0</v>
      </c>
      <c r="F7" s="263">
        <f>'I. Фін результат'!F92</f>
        <v>-7714.3245899999965</v>
      </c>
      <c r="G7" s="268">
        <f>F7-E7</f>
        <v>-7714.3245899999965</v>
      </c>
      <c r="H7" s="186" t="e">
        <f>(F7/E7)*100</f>
        <v>#DIV/0!</v>
      </c>
    </row>
    <row r="8" spans="1:11" ht="48.95" customHeight="1">
      <c r="A8" s="48" t="s">
        <v>51</v>
      </c>
      <c r="B8" s="6">
        <v>2000</v>
      </c>
      <c r="C8" s="117"/>
      <c r="D8" s="117"/>
      <c r="E8" s="117"/>
      <c r="F8" s="117"/>
      <c r="G8" s="185">
        <f>F8-E8</f>
        <v>0</v>
      </c>
      <c r="H8" s="186" t="e">
        <f>(F8/E8)*100</f>
        <v>#DIV/0!</v>
      </c>
    </row>
    <row r="9" spans="1:11" ht="45" customHeight="1">
      <c r="A9" s="48" t="s">
        <v>249</v>
      </c>
      <c r="B9" s="6">
        <v>2010</v>
      </c>
      <c r="C9" s="155">
        <f>SUM(C10:C11)</f>
        <v>0</v>
      </c>
      <c r="D9" s="155">
        <f>SUM(D10:D11)</f>
        <v>0</v>
      </c>
      <c r="E9" s="155">
        <f>SUM(E10:E11)</f>
        <v>0</v>
      </c>
      <c r="F9" s="155">
        <f>SUM(F10:F11)</f>
        <v>0</v>
      </c>
      <c r="G9" s="185">
        <f>F9-E9</f>
        <v>0</v>
      </c>
      <c r="H9" s="186" t="e">
        <f>(F9/E9)*100</f>
        <v>#DIV/0!</v>
      </c>
    </row>
    <row r="10" spans="1:11" ht="45" customHeight="1">
      <c r="A10" s="8" t="s">
        <v>142</v>
      </c>
      <c r="B10" s="15">
        <v>2011</v>
      </c>
      <c r="C10" s="314" t="s">
        <v>223</v>
      </c>
      <c r="D10" s="314" t="s">
        <v>223</v>
      </c>
      <c r="E10" s="314" t="s">
        <v>223</v>
      </c>
      <c r="F10" s="117" t="s">
        <v>223</v>
      </c>
      <c r="G10" s="185" t="e">
        <f t="shared" ref="G10:G18" si="0">F10-E10</f>
        <v>#VALUE!</v>
      </c>
      <c r="H10" s="186" t="e">
        <f t="shared" ref="H10:H18" si="1">(F10/E10)*100</f>
        <v>#VALUE!</v>
      </c>
      <c r="I10" s="393"/>
      <c r="J10" s="394"/>
      <c r="K10" s="394"/>
    </row>
    <row r="11" spans="1:11" ht="45" customHeight="1">
      <c r="A11" s="8" t="s">
        <v>435</v>
      </c>
      <c r="B11" s="6">
        <v>2012</v>
      </c>
      <c r="C11" s="117" t="s">
        <v>223</v>
      </c>
      <c r="D11" s="117" t="s">
        <v>223</v>
      </c>
      <c r="E11" s="117" t="s">
        <v>223</v>
      </c>
      <c r="F11" s="117"/>
      <c r="G11" s="185" t="e">
        <f t="shared" si="0"/>
        <v>#VALUE!</v>
      </c>
      <c r="H11" s="186" t="e">
        <f t="shared" si="1"/>
        <v>#VALUE!</v>
      </c>
    </row>
    <row r="12" spans="1:11" ht="24.95" customHeight="1">
      <c r="A12" s="8" t="s">
        <v>127</v>
      </c>
      <c r="B12" s="6" t="s">
        <v>149</v>
      </c>
      <c r="C12" s="117" t="s">
        <v>223</v>
      </c>
      <c r="D12" s="117" t="s">
        <v>223</v>
      </c>
      <c r="E12" s="117" t="s">
        <v>223</v>
      </c>
      <c r="F12" s="117" t="s">
        <v>223</v>
      </c>
      <c r="G12" s="185" t="e">
        <f t="shared" si="0"/>
        <v>#VALUE!</v>
      </c>
      <c r="H12" s="186" t="e">
        <f t="shared" si="1"/>
        <v>#VALUE!</v>
      </c>
    </row>
    <row r="13" spans="1:11" ht="24.95" customHeight="1">
      <c r="A13" s="8" t="s">
        <v>136</v>
      </c>
      <c r="B13" s="6">
        <v>2020</v>
      </c>
      <c r="C13" s="117"/>
      <c r="D13" s="117"/>
      <c r="E13" s="117"/>
      <c r="F13" s="117"/>
      <c r="G13" s="185">
        <f t="shared" si="0"/>
        <v>0</v>
      </c>
      <c r="H13" s="186" t="e">
        <f t="shared" si="1"/>
        <v>#DIV/0!</v>
      </c>
    </row>
    <row r="14" spans="1:11" s="49" customFormat="1" ht="24.95" customHeight="1">
      <c r="A14" s="48" t="s">
        <v>61</v>
      </c>
      <c r="B14" s="6">
        <v>2030</v>
      </c>
      <c r="C14" s="117" t="s">
        <v>223</v>
      </c>
      <c r="D14" s="117" t="s">
        <v>223</v>
      </c>
      <c r="E14" s="117" t="s">
        <v>223</v>
      </c>
      <c r="F14" s="117" t="s">
        <v>223</v>
      </c>
      <c r="G14" s="185" t="e">
        <f t="shared" si="0"/>
        <v>#VALUE!</v>
      </c>
      <c r="H14" s="186" t="e">
        <f t="shared" si="1"/>
        <v>#VALUE!</v>
      </c>
      <c r="J14" s="250"/>
    </row>
    <row r="15" spans="1:11" ht="24.95" customHeight="1">
      <c r="A15" s="48" t="s">
        <v>111</v>
      </c>
      <c r="B15" s="6">
        <v>2031</v>
      </c>
      <c r="C15" s="117" t="s">
        <v>223</v>
      </c>
      <c r="D15" s="117" t="s">
        <v>223</v>
      </c>
      <c r="E15" s="117" t="s">
        <v>223</v>
      </c>
      <c r="F15" s="117" t="s">
        <v>223</v>
      </c>
      <c r="G15" s="185" t="e">
        <f t="shared" si="0"/>
        <v>#VALUE!</v>
      </c>
      <c r="H15" s="186" t="e">
        <f t="shared" si="1"/>
        <v>#VALUE!</v>
      </c>
    </row>
    <row r="16" spans="1:11" ht="24.95" customHeight="1">
      <c r="A16" s="347" t="s">
        <v>27</v>
      </c>
      <c r="B16" s="6">
        <v>2040</v>
      </c>
      <c r="C16" s="117" t="s">
        <v>223</v>
      </c>
      <c r="D16" s="117" t="s">
        <v>223</v>
      </c>
      <c r="E16" s="117" t="s">
        <v>223</v>
      </c>
      <c r="F16" s="117" t="s">
        <v>223</v>
      </c>
      <c r="G16" s="185" t="e">
        <f t="shared" si="0"/>
        <v>#VALUE!</v>
      </c>
      <c r="H16" s="186" t="e">
        <f t="shared" si="1"/>
        <v>#VALUE!</v>
      </c>
    </row>
    <row r="17" spans="1:9" ht="24.95" customHeight="1">
      <c r="A17" s="48" t="s">
        <v>98</v>
      </c>
      <c r="B17" s="6">
        <v>2050</v>
      </c>
      <c r="C17" s="117" t="s">
        <v>223</v>
      </c>
      <c r="D17" s="117" t="s">
        <v>223</v>
      </c>
      <c r="E17" s="117" t="s">
        <v>223</v>
      </c>
      <c r="F17" s="117" t="s">
        <v>223</v>
      </c>
      <c r="G17" s="185" t="e">
        <f t="shared" si="0"/>
        <v>#VALUE!</v>
      </c>
      <c r="H17" s="186" t="e">
        <f t="shared" si="1"/>
        <v>#VALUE!</v>
      </c>
    </row>
    <row r="18" spans="1:9" ht="24.95" customHeight="1">
      <c r="A18" s="48" t="s">
        <v>99</v>
      </c>
      <c r="B18" s="6">
        <v>2060</v>
      </c>
      <c r="C18" s="117" t="s">
        <v>223</v>
      </c>
      <c r="D18" s="117" t="s">
        <v>223</v>
      </c>
      <c r="E18" s="117" t="s">
        <v>223</v>
      </c>
      <c r="F18" s="117" t="s">
        <v>223</v>
      </c>
      <c r="G18" s="185" t="e">
        <f t="shared" si="0"/>
        <v>#VALUE!</v>
      </c>
      <c r="H18" s="186" t="e">
        <f t="shared" si="1"/>
        <v>#VALUE!</v>
      </c>
    </row>
    <row r="19" spans="1:9" ht="49.5" customHeight="1">
      <c r="A19" s="48" t="s">
        <v>52</v>
      </c>
      <c r="B19" s="6">
        <v>2070</v>
      </c>
      <c r="C19" s="127" t="e">
        <f>SUM(C7:C9,C13,C14,C16:C18)</f>
        <v>#REF!</v>
      </c>
      <c r="D19" s="216">
        <f>SUM(D7:D9,D13,D14,D16:D18)</f>
        <v>-1886.3096899999955</v>
      </c>
      <c r="E19" s="242">
        <f>SUM(E7:E9,E13,E14,E16:E18)</f>
        <v>0</v>
      </c>
      <c r="F19" s="216">
        <f>SUM(F7:F9,F13,F14,F16:F18)</f>
        <v>-7714.3245899999965</v>
      </c>
      <c r="G19" s="268">
        <f>F19-E19</f>
        <v>-7714.3245899999965</v>
      </c>
      <c r="H19" s="186" t="e">
        <f>(F19/E19)*100</f>
        <v>#DIV/0!</v>
      </c>
    </row>
    <row r="20" spans="1:9" ht="19.5" customHeight="1">
      <c r="A20" s="398" t="s">
        <v>340</v>
      </c>
      <c r="B20" s="398"/>
      <c r="C20" s="398"/>
      <c r="D20" s="398"/>
      <c r="E20" s="398"/>
      <c r="F20" s="398"/>
      <c r="G20" s="398"/>
      <c r="H20" s="398"/>
    </row>
    <row r="21" spans="1:9" s="49" customFormat="1" ht="37.5">
      <c r="A21" s="75" t="s">
        <v>332</v>
      </c>
      <c r="B21" s="151">
        <v>2110</v>
      </c>
      <c r="C21" s="124">
        <f>SUM(C22:C30)</f>
        <v>0</v>
      </c>
      <c r="D21" s="211">
        <f>SUM(D22:D30)</f>
        <v>49.791629999999998</v>
      </c>
      <c r="E21" s="124">
        <f>SUM(E22:E30)</f>
        <v>0</v>
      </c>
      <c r="F21" s="211">
        <f>SUM(F22:F30)</f>
        <v>27.998999999999999</v>
      </c>
      <c r="G21" s="220">
        <f>F21-E21</f>
        <v>27.998999999999999</v>
      </c>
      <c r="H21" s="156" t="e">
        <f>(F21/E21)*100</f>
        <v>#DIV/0!</v>
      </c>
    </row>
    <row r="22" spans="1:9">
      <c r="A22" s="8" t="s">
        <v>254</v>
      </c>
      <c r="B22" s="6">
        <v>2111</v>
      </c>
      <c r="C22" s="117"/>
      <c r="D22" s="117"/>
      <c r="E22" s="117"/>
      <c r="F22" s="117"/>
      <c r="G22" s="209">
        <f t="shared" ref="G22:G44" si="2">F22-E22</f>
        <v>0</v>
      </c>
      <c r="H22" s="154" t="e">
        <f t="shared" ref="H22:H44" si="3">(F22/E22)*100</f>
        <v>#DIV/0!</v>
      </c>
    </row>
    <row r="23" spans="1:9">
      <c r="A23" s="8" t="s">
        <v>333</v>
      </c>
      <c r="B23" s="6">
        <v>2112</v>
      </c>
      <c r="C23" s="117"/>
      <c r="D23" s="209">
        <f>(11336.63+5290+5166)/1000+F23</f>
        <v>49.791629999999998</v>
      </c>
      <c r="E23" s="117"/>
      <c r="F23" s="209">
        <f>(1050+11478+15471)/1000</f>
        <v>27.998999999999999</v>
      </c>
      <c r="G23" s="209">
        <f>F23-E23</f>
        <v>27.998999999999999</v>
      </c>
      <c r="H23" s="154" t="e">
        <f>(F23/E23)*100</f>
        <v>#DIV/0!</v>
      </c>
    </row>
    <row r="24" spans="1:9" s="49" customFormat="1" ht="18.75" customHeight="1">
      <c r="A24" s="48" t="s">
        <v>334</v>
      </c>
      <c r="B24" s="54">
        <v>2113</v>
      </c>
      <c r="C24" s="117" t="s">
        <v>223</v>
      </c>
      <c r="D24" s="117" t="s">
        <v>223</v>
      </c>
      <c r="E24" s="117" t="s">
        <v>223</v>
      </c>
      <c r="F24" s="117" t="s">
        <v>223</v>
      </c>
      <c r="G24" s="117" t="e">
        <f t="shared" si="2"/>
        <v>#VALUE!</v>
      </c>
      <c r="H24" s="154" t="e">
        <f t="shared" si="3"/>
        <v>#VALUE!</v>
      </c>
    </row>
    <row r="25" spans="1:9">
      <c r="A25" s="48" t="s">
        <v>74</v>
      </c>
      <c r="B25" s="54">
        <v>2114</v>
      </c>
      <c r="C25" s="117"/>
      <c r="D25" s="117"/>
      <c r="E25" s="117"/>
      <c r="F25" s="117"/>
      <c r="G25" s="117">
        <f t="shared" si="2"/>
        <v>0</v>
      </c>
      <c r="H25" s="154" t="e">
        <f t="shared" si="3"/>
        <v>#DIV/0!</v>
      </c>
    </row>
    <row r="26" spans="1:9" ht="37.5">
      <c r="A26" s="48" t="s">
        <v>335</v>
      </c>
      <c r="B26" s="54">
        <v>2115</v>
      </c>
      <c r="C26" s="117"/>
      <c r="D26" s="117"/>
      <c r="E26" s="117"/>
      <c r="F26" s="117"/>
      <c r="G26" s="117">
        <f t="shared" si="2"/>
        <v>0</v>
      </c>
      <c r="H26" s="154" t="e">
        <f t="shared" si="3"/>
        <v>#DIV/0!</v>
      </c>
    </row>
    <row r="27" spans="1:9" s="51" customFormat="1">
      <c r="A27" s="48" t="s">
        <v>88</v>
      </c>
      <c r="B27" s="54">
        <v>2116</v>
      </c>
      <c r="C27" s="117"/>
      <c r="D27" s="117"/>
      <c r="E27" s="117"/>
      <c r="F27" s="117"/>
      <c r="G27" s="117">
        <f t="shared" si="2"/>
        <v>0</v>
      </c>
      <c r="H27" s="154" t="e">
        <f t="shared" si="3"/>
        <v>#DIV/0!</v>
      </c>
      <c r="I27" s="47"/>
    </row>
    <row r="28" spans="1:9" ht="20.100000000000001" customHeight="1">
      <c r="A28" s="348" t="s">
        <v>355</v>
      </c>
      <c r="B28" s="54">
        <v>2117</v>
      </c>
      <c r="C28" s="117"/>
      <c r="D28" s="117"/>
      <c r="E28" s="117"/>
      <c r="F28" s="117"/>
      <c r="G28" s="117">
        <f t="shared" si="2"/>
        <v>0</v>
      </c>
      <c r="H28" s="154" t="e">
        <f t="shared" si="3"/>
        <v>#DIV/0!</v>
      </c>
    </row>
    <row r="29" spans="1:9" ht="20.100000000000001" customHeight="1">
      <c r="A29" s="48" t="s">
        <v>73</v>
      </c>
      <c r="B29" s="54">
        <v>2118</v>
      </c>
      <c r="C29" s="117"/>
      <c r="D29" s="117"/>
      <c r="E29" s="117"/>
      <c r="F29" s="117"/>
      <c r="G29" s="117">
        <f t="shared" si="2"/>
        <v>0</v>
      </c>
      <c r="H29" s="154" t="e">
        <f t="shared" si="3"/>
        <v>#DIV/0!</v>
      </c>
    </row>
    <row r="30" spans="1:9" ht="20.100000000000001" customHeight="1">
      <c r="A30" s="48" t="s">
        <v>341</v>
      </c>
      <c r="B30" s="54">
        <v>2119</v>
      </c>
      <c r="C30" s="117"/>
      <c r="D30" s="117"/>
      <c r="E30" s="117"/>
      <c r="F30" s="117"/>
      <c r="G30" s="117">
        <f t="shared" si="2"/>
        <v>0</v>
      </c>
      <c r="H30" s="154" t="e">
        <f t="shared" si="3"/>
        <v>#DIV/0!</v>
      </c>
    </row>
    <row r="31" spans="1:9" s="49" customFormat="1" ht="37.5">
      <c r="A31" s="75" t="s">
        <v>342</v>
      </c>
      <c r="B31" s="61">
        <v>2120</v>
      </c>
      <c r="C31" s="124">
        <f>SUM(C32:C35)</f>
        <v>0</v>
      </c>
      <c r="D31" s="211">
        <f>SUM(D32:D35)</f>
        <v>5243.1213699999998</v>
      </c>
      <c r="E31" s="211">
        <f>SUM(E32:E35)</f>
        <v>0</v>
      </c>
      <c r="F31" s="211">
        <f>SUM(F32:F35)</f>
        <v>2357.3319199999996</v>
      </c>
      <c r="G31" s="220">
        <f>F31-E31</f>
        <v>2357.3319199999996</v>
      </c>
      <c r="H31" s="248" t="e">
        <f>(F31/E31)*100</f>
        <v>#DIV/0!</v>
      </c>
    </row>
    <row r="32" spans="1:9" ht="20.100000000000001" customHeight="1">
      <c r="A32" s="48" t="s">
        <v>73</v>
      </c>
      <c r="B32" s="54">
        <v>2121</v>
      </c>
      <c r="C32" s="117"/>
      <c r="D32" s="209">
        <f>(609409.71+894533.18+1158204.07)/1000+F32</f>
        <v>4831.0906599999998</v>
      </c>
      <c r="E32" s="209"/>
      <c r="F32" s="209">
        <f>(699995.44+748131.57+720816.69)/1000</f>
        <v>2168.9436999999998</v>
      </c>
      <c r="G32" s="209">
        <f>F32-E32</f>
        <v>2168.9436999999998</v>
      </c>
      <c r="H32" s="219" t="e">
        <f>(F32/E32)*100</f>
        <v>#DIV/0!</v>
      </c>
    </row>
    <row r="33" spans="1:9" ht="20.100000000000001" customHeight="1">
      <c r="A33" s="48" t="s">
        <v>343</v>
      </c>
      <c r="B33" s="54">
        <v>2122</v>
      </c>
      <c r="C33" s="117"/>
      <c r="D33" s="209"/>
      <c r="E33" s="209"/>
      <c r="F33" s="209"/>
      <c r="G33" s="209">
        <f t="shared" si="2"/>
        <v>0</v>
      </c>
      <c r="H33" s="219" t="e">
        <f t="shared" si="3"/>
        <v>#DIV/0!</v>
      </c>
    </row>
    <row r="34" spans="1:9" ht="20.100000000000001" customHeight="1">
      <c r="A34" s="48" t="s">
        <v>344</v>
      </c>
      <c r="B34" s="54">
        <v>2123</v>
      </c>
      <c r="C34" s="117"/>
      <c r="D34" s="209"/>
      <c r="E34" s="209"/>
      <c r="F34" s="209"/>
      <c r="G34" s="209">
        <f t="shared" si="2"/>
        <v>0</v>
      </c>
      <c r="H34" s="219" t="e">
        <f t="shared" si="3"/>
        <v>#DIV/0!</v>
      </c>
    </row>
    <row r="35" spans="1:9" s="49" customFormat="1">
      <c r="A35" s="48" t="s">
        <v>341</v>
      </c>
      <c r="B35" s="54">
        <v>2124</v>
      </c>
      <c r="C35" s="117"/>
      <c r="D35" s="209">
        <f>D36</f>
        <v>412.03071</v>
      </c>
      <c r="E35" s="209">
        <f>E36</f>
        <v>0</v>
      </c>
      <c r="F35" s="209">
        <f>F36</f>
        <v>188.38821999999999</v>
      </c>
      <c r="G35" s="209">
        <f>F35-E35</f>
        <v>188.38821999999999</v>
      </c>
      <c r="H35" s="219" t="e">
        <f>(F35/E35)*100</f>
        <v>#DIV/0!</v>
      </c>
    </row>
    <row r="36" spans="1:9" s="49" customFormat="1">
      <c r="A36" s="48" t="s">
        <v>499</v>
      </c>
      <c r="B36" s="54" t="s">
        <v>498</v>
      </c>
      <c r="C36" s="117"/>
      <c r="D36" s="209">
        <f>(96128.36+79691.94+47822.19)/1000+F36</f>
        <v>412.03071</v>
      </c>
      <c r="E36" s="209"/>
      <c r="F36" s="209">
        <f>(61385.14+64472.23+62530.85)/1000</f>
        <v>188.38821999999999</v>
      </c>
      <c r="G36" s="209">
        <f>F36-E36</f>
        <v>188.38821999999999</v>
      </c>
      <c r="H36" s="219" t="e">
        <f>(F36/E36)*100</f>
        <v>#DIV/0!</v>
      </c>
    </row>
    <row r="37" spans="1:9" s="49" customFormat="1" ht="39" customHeight="1">
      <c r="A37" s="75" t="s">
        <v>345</v>
      </c>
      <c r="B37" s="61">
        <v>2130</v>
      </c>
      <c r="C37" s="124">
        <f>SUM(C38:C41)</f>
        <v>0</v>
      </c>
      <c r="D37" s="211">
        <f>SUM(D38:D41)</f>
        <v>6036.8744399999996</v>
      </c>
      <c r="E37" s="211">
        <f>SUM(E38:E41)</f>
        <v>0</v>
      </c>
      <c r="F37" s="211">
        <f>SUM(F38:F41)</f>
        <v>2832.6816399999998</v>
      </c>
      <c r="G37" s="220">
        <f>F37-E37</f>
        <v>2832.6816399999998</v>
      </c>
      <c r="H37" s="248" t="e">
        <f>(F37/E37)*100</f>
        <v>#DIV/0!</v>
      </c>
    </row>
    <row r="38" spans="1:9" ht="60.75" customHeight="1">
      <c r="A38" s="48" t="s">
        <v>436</v>
      </c>
      <c r="B38" s="54">
        <v>2131</v>
      </c>
      <c r="C38" s="117"/>
      <c r="D38" s="209"/>
      <c r="E38" s="209"/>
      <c r="F38" s="209"/>
      <c r="G38" s="209">
        <f t="shared" si="2"/>
        <v>0</v>
      </c>
      <c r="H38" s="219" t="e">
        <f t="shared" si="3"/>
        <v>#DIV/0!</v>
      </c>
    </row>
    <row r="39" spans="1:9" s="49" customFormat="1" ht="20.100000000000001" customHeight="1">
      <c r="A39" s="48" t="s">
        <v>346</v>
      </c>
      <c r="B39" s="54">
        <v>2132</v>
      </c>
      <c r="C39" s="117"/>
      <c r="D39" s="209"/>
      <c r="E39" s="209"/>
      <c r="F39" s="209"/>
      <c r="G39" s="209">
        <f t="shared" si="2"/>
        <v>0</v>
      </c>
      <c r="H39" s="219" t="e">
        <f t="shared" si="3"/>
        <v>#DIV/0!</v>
      </c>
    </row>
    <row r="40" spans="1:9" ht="20.100000000000001" customHeight="1">
      <c r="A40" s="48" t="s">
        <v>347</v>
      </c>
      <c r="B40" s="54">
        <v>2133</v>
      </c>
      <c r="C40" s="117"/>
      <c r="D40" s="209">
        <f>(621403.42+1206753.64+1376035.74)/1000+F40</f>
        <v>6036.8744399999996</v>
      </c>
      <c r="E40" s="209"/>
      <c r="F40" s="209">
        <f>(665392.48+20171.74+77783+15761.96+6445.83+19767.24+5477.79+1150+3111+16415+49547.72+626.09+819.04+85141.61+14029.94+130806.81+1628.45+16415+17030.57+33063+15864.27+530373.89+112588.14+3782.25+2157.75+2376.43+659.95+48820.52+2797.09+23859.59+297.62+2934+905585.87)/1000</f>
        <v>2832.6816399999998</v>
      </c>
      <c r="G40" s="209">
        <f>F40-E40</f>
        <v>2832.6816399999998</v>
      </c>
      <c r="H40" s="219" t="e">
        <f>(F40/E40)*100</f>
        <v>#DIV/0!</v>
      </c>
    </row>
    <row r="41" spans="1:9" ht="20.100000000000001" customHeight="1">
      <c r="A41" s="48" t="s">
        <v>348</v>
      </c>
      <c r="B41" s="54">
        <v>2134</v>
      </c>
      <c r="C41" s="117"/>
      <c r="D41" s="209"/>
      <c r="E41" s="209"/>
      <c r="F41" s="209"/>
      <c r="G41" s="209">
        <f t="shared" si="2"/>
        <v>0</v>
      </c>
      <c r="H41" s="219" t="e">
        <f>(F41/E41)*100</f>
        <v>#DIV/0!</v>
      </c>
    </row>
    <row r="42" spans="1:9" s="49" customFormat="1" ht="20.100000000000001" customHeight="1">
      <c r="A42" s="75" t="s">
        <v>349</v>
      </c>
      <c r="B42" s="61">
        <v>2140</v>
      </c>
      <c r="C42" s="124">
        <f>SUM(C43:C44)</f>
        <v>0</v>
      </c>
      <c r="D42" s="211">
        <f>SUM(D43:D44)</f>
        <v>0</v>
      </c>
      <c r="E42" s="211">
        <f>SUM(E43:E44)</f>
        <v>0</v>
      </c>
      <c r="F42" s="211">
        <f>SUM(F43:F44)</f>
        <v>0</v>
      </c>
      <c r="G42" s="220">
        <f t="shared" si="2"/>
        <v>0</v>
      </c>
      <c r="H42" s="248" t="e">
        <f t="shared" si="3"/>
        <v>#DIV/0!</v>
      </c>
    </row>
    <row r="43" spans="1:9" ht="37.5">
      <c r="A43" s="48" t="s">
        <v>112</v>
      </c>
      <c r="B43" s="54">
        <v>2141</v>
      </c>
      <c r="C43" s="117"/>
      <c r="D43" s="209"/>
      <c r="E43" s="209"/>
      <c r="F43" s="209"/>
      <c r="G43" s="209">
        <f t="shared" si="2"/>
        <v>0</v>
      </c>
      <c r="H43" s="219" t="e">
        <f t="shared" si="3"/>
        <v>#DIV/0!</v>
      </c>
    </row>
    <row r="44" spans="1:9" s="49" customFormat="1" ht="20.100000000000001" customHeight="1">
      <c r="A44" s="48" t="s">
        <v>350</v>
      </c>
      <c r="B44" s="54">
        <v>2142</v>
      </c>
      <c r="C44" s="117"/>
      <c r="D44" s="209"/>
      <c r="E44" s="209"/>
      <c r="F44" s="209"/>
      <c r="G44" s="209">
        <f t="shared" si="2"/>
        <v>0</v>
      </c>
      <c r="H44" s="219" t="e">
        <f t="shared" si="3"/>
        <v>#DIV/0!</v>
      </c>
    </row>
    <row r="45" spans="1:9" s="49" customFormat="1" ht="21.75" customHeight="1">
      <c r="A45" s="75" t="s">
        <v>339</v>
      </c>
      <c r="B45" s="61">
        <v>2200</v>
      </c>
      <c r="C45" s="124">
        <f>SUM(C21,C31,C37,C42)</f>
        <v>0</v>
      </c>
      <c r="D45" s="211">
        <f>SUM(D21,D31,D37,D42)</f>
        <v>11329.78744</v>
      </c>
      <c r="E45" s="211">
        <f>SUM(E21,E31,E37,E42)</f>
        <v>0</v>
      </c>
      <c r="F45" s="211">
        <f>SUM(F21,F31,F37,F42)</f>
        <v>5218.0125599999992</v>
      </c>
      <c r="G45" s="125">
        <f>F45-E45</f>
        <v>5218.0125599999992</v>
      </c>
      <c r="H45" s="274" t="e">
        <f>(F45/E45)*100</f>
        <v>#DIV/0!</v>
      </c>
      <c r="I45" s="250"/>
    </row>
    <row r="46" spans="1:9" s="49" customFormat="1">
      <c r="A46" s="71"/>
      <c r="B46" s="50"/>
      <c r="C46" s="50"/>
      <c r="D46" s="283"/>
      <c r="E46" s="283"/>
      <c r="F46" s="283"/>
      <c r="G46" s="283"/>
      <c r="H46" s="283"/>
    </row>
    <row r="47" spans="1:9" s="3" customFormat="1" ht="27.75" customHeight="1">
      <c r="A47" s="354" t="s">
        <v>518</v>
      </c>
      <c r="B47" s="1"/>
      <c r="C47" s="389" t="s">
        <v>528</v>
      </c>
      <c r="D47" s="399"/>
      <c r="E47" s="284"/>
      <c r="F47" s="400" t="str">
        <f>'I. Фін результат'!F119:H119</f>
        <v xml:space="preserve">                           Тетяна ЛАТИШЕНКО                       </v>
      </c>
      <c r="G47" s="400"/>
      <c r="H47" s="400"/>
    </row>
    <row r="48" spans="1:9" s="2" customFormat="1">
      <c r="A48" s="25" t="s">
        <v>68</v>
      </c>
      <c r="B48" s="3"/>
      <c r="C48" s="384" t="s">
        <v>173</v>
      </c>
      <c r="D48" s="396"/>
      <c r="E48" s="285"/>
      <c r="F48" s="397" t="s">
        <v>211</v>
      </c>
      <c r="G48" s="397"/>
      <c r="H48" s="397"/>
    </row>
    <row r="49" spans="1:10" s="50" customFormat="1">
      <c r="A49" s="63"/>
      <c r="D49" s="283"/>
      <c r="E49" s="283"/>
      <c r="F49" s="283"/>
      <c r="G49" s="283"/>
      <c r="H49" s="283"/>
      <c r="I49" s="47"/>
      <c r="J49" s="47"/>
    </row>
    <row r="50" spans="1:10" s="50" customFormat="1">
      <c r="A50" s="63"/>
      <c r="D50" s="283"/>
      <c r="E50" s="283"/>
      <c r="F50" s="283"/>
      <c r="G50" s="283"/>
      <c r="H50" s="283"/>
      <c r="I50" s="47"/>
      <c r="J50" s="47"/>
    </row>
    <row r="51" spans="1:10" s="50" customFormat="1">
      <c r="A51" s="63"/>
      <c r="D51" s="283"/>
      <c r="E51" s="283"/>
      <c r="F51" s="283"/>
      <c r="G51" s="283"/>
      <c r="H51" s="283"/>
      <c r="I51" s="47"/>
      <c r="J51" s="47"/>
    </row>
    <row r="52" spans="1:10" s="50" customFormat="1">
      <c r="A52" s="63"/>
      <c r="I52" s="47"/>
      <c r="J52" s="47"/>
    </row>
    <row r="53" spans="1:10" s="50" customFormat="1">
      <c r="A53" s="63"/>
      <c r="I53" s="47"/>
      <c r="J53" s="47"/>
    </row>
    <row r="54" spans="1:10" s="50" customFormat="1">
      <c r="A54" s="63"/>
      <c r="I54" s="47"/>
      <c r="J54" s="47"/>
    </row>
    <row r="55" spans="1:10" s="50" customFormat="1">
      <c r="A55" s="63"/>
      <c r="I55" s="47"/>
      <c r="J55" s="47"/>
    </row>
    <row r="56" spans="1:10" s="50" customFormat="1">
      <c r="A56" s="63"/>
      <c r="B56" s="339"/>
      <c r="C56" s="339"/>
      <c r="D56" s="339"/>
      <c r="E56" s="339"/>
      <c r="F56" s="339"/>
      <c r="G56" s="339"/>
      <c r="I56" s="47"/>
      <c r="J56" s="47"/>
    </row>
    <row r="57" spans="1:10" s="50" customFormat="1">
      <c r="A57" s="63"/>
      <c r="I57" s="47"/>
      <c r="J57" s="47"/>
    </row>
    <row r="58" spans="1:10" s="50" customFormat="1">
      <c r="A58" s="63"/>
      <c r="I58" s="47"/>
      <c r="J58" s="47"/>
    </row>
    <row r="59" spans="1:10" s="50" customFormat="1">
      <c r="A59" s="63"/>
      <c r="I59" s="47"/>
      <c r="J59" s="47"/>
    </row>
    <row r="60" spans="1:10" s="50" customFormat="1">
      <c r="A60" s="63"/>
      <c r="D60" s="283"/>
      <c r="E60" s="283"/>
      <c r="F60" s="283"/>
      <c r="G60" s="283"/>
      <c r="H60" s="283"/>
      <c r="I60" s="47"/>
      <c r="J60" s="47"/>
    </row>
    <row r="61" spans="1:10" s="50" customFormat="1">
      <c r="A61" s="63"/>
      <c r="D61" s="283"/>
      <c r="E61" s="283"/>
      <c r="F61" s="283"/>
      <c r="G61" s="283"/>
      <c r="H61" s="283"/>
      <c r="I61" s="47"/>
      <c r="J61" s="47"/>
    </row>
    <row r="62" spans="1:10" s="50" customFormat="1">
      <c r="A62" s="63"/>
      <c r="D62" s="283"/>
      <c r="E62" s="283"/>
      <c r="F62" s="283"/>
      <c r="G62" s="283"/>
      <c r="H62" s="283"/>
      <c r="I62" s="47"/>
      <c r="J62" s="47"/>
    </row>
    <row r="63" spans="1:10" s="50" customFormat="1">
      <c r="A63" s="63"/>
      <c r="D63" s="283"/>
      <c r="E63" s="283"/>
      <c r="F63" s="283"/>
      <c r="G63" s="283"/>
      <c r="H63" s="283"/>
      <c r="I63" s="47"/>
      <c r="J63" s="47"/>
    </row>
    <row r="64" spans="1:10" s="50" customFormat="1">
      <c r="A64" s="63"/>
      <c r="D64" s="283"/>
      <c r="E64" s="283"/>
      <c r="F64" s="283"/>
      <c r="G64" s="283"/>
      <c r="H64" s="283"/>
      <c r="I64" s="47"/>
      <c r="J64" s="47"/>
    </row>
    <row r="65" spans="1:11" s="50" customFormat="1">
      <c r="A65" s="63"/>
      <c r="D65" s="283"/>
      <c r="E65" s="283"/>
      <c r="F65" s="283"/>
      <c r="G65" s="283"/>
      <c r="H65" s="283"/>
      <c r="I65" s="47"/>
      <c r="J65" s="47"/>
    </row>
    <row r="66" spans="1:11" s="50" customFormat="1">
      <c r="A66" s="63"/>
      <c r="D66" s="283"/>
      <c r="E66" s="283"/>
      <c r="F66" s="283"/>
      <c r="G66" s="283"/>
      <c r="H66" s="283"/>
      <c r="I66" s="47"/>
      <c r="J66" s="47"/>
    </row>
    <row r="67" spans="1:11" s="50" customFormat="1">
      <c r="A67" s="63"/>
      <c r="D67" s="283"/>
      <c r="E67" s="283"/>
      <c r="F67" s="283"/>
      <c r="G67" s="283"/>
      <c r="H67" s="283"/>
      <c r="I67" s="47"/>
      <c r="J67" s="47"/>
    </row>
    <row r="68" spans="1:11" s="50" customFormat="1">
      <c r="A68" s="63"/>
      <c r="D68" s="283"/>
      <c r="E68" s="283"/>
      <c r="F68" s="283"/>
      <c r="G68" s="283"/>
      <c r="H68" s="283"/>
      <c r="I68" s="47"/>
      <c r="J68" s="47"/>
    </row>
    <row r="69" spans="1:11" s="50" customFormat="1">
      <c r="A69" s="63"/>
      <c r="D69" s="283"/>
      <c r="E69" s="283"/>
      <c r="F69" s="283"/>
      <c r="G69" s="283"/>
      <c r="H69" s="283"/>
      <c r="I69" s="47"/>
      <c r="J69" s="47"/>
    </row>
    <row r="70" spans="1:11" s="50" customFormat="1">
      <c r="A70" s="63"/>
      <c r="D70" s="283"/>
      <c r="E70" s="283"/>
      <c r="F70" s="283"/>
      <c r="G70" s="283"/>
      <c r="H70" s="283"/>
      <c r="I70" s="47"/>
      <c r="J70" s="47"/>
    </row>
    <row r="71" spans="1:11" s="50" customFormat="1">
      <c r="A71" s="63"/>
      <c r="D71" s="283"/>
      <c r="E71" s="283"/>
      <c r="F71" s="283"/>
      <c r="G71" s="283"/>
      <c r="H71" s="283"/>
      <c r="I71" s="47"/>
      <c r="J71" s="47"/>
    </row>
    <row r="72" spans="1:11" s="50" customFormat="1">
      <c r="A72" s="63"/>
      <c r="D72" s="283"/>
      <c r="E72" s="283"/>
      <c r="F72" s="283"/>
      <c r="G72" s="283"/>
      <c r="H72" s="283"/>
      <c r="I72" s="47"/>
      <c r="J72" s="47"/>
    </row>
    <row r="73" spans="1:11" s="50" customFormat="1">
      <c r="A73" s="63"/>
      <c r="D73" s="325"/>
      <c r="E73" s="325"/>
      <c r="F73" s="325"/>
      <c r="G73" s="325"/>
      <c r="H73" s="325"/>
      <c r="I73" s="325"/>
      <c r="J73" s="325"/>
      <c r="K73" s="325"/>
    </row>
    <row r="74" spans="1:11" s="50" customFormat="1">
      <c r="A74" s="63"/>
      <c r="D74" s="325"/>
      <c r="E74" s="325"/>
      <c r="F74" s="325"/>
      <c r="G74" s="325"/>
      <c r="H74" s="325"/>
      <c r="I74" s="325"/>
      <c r="J74" s="325"/>
      <c r="K74" s="325"/>
    </row>
    <row r="75" spans="1:11" s="50" customFormat="1">
      <c r="A75" s="63"/>
      <c r="D75" s="283"/>
      <c r="E75" s="283"/>
      <c r="F75" s="283"/>
      <c r="G75" s="283"/>
      <c r="H75" s="283"/>
      <c r="I75" s="47"/>
      <c r="J75" s="47"/>
    </row>
    <row r="76" spans="1:11" s="50" customFormat="1">
      <c r="A76" s="63"/>
      <c r="D76" s="283"/>
      <c r="E76" s="283"/>
      <c r="F76" s="283"/>
      <c r="G76" s="283"/>
      <c r="H76" s="283"/>
      <c r="I76" s="47"/>
      <c r="J76" s="47"/>
    </row>
    <row r="77" spans="1:11" s="50" customFormat="1">
      <c r="A77" s="63"/>
      <c r="D77" s="283"/>
      <c r="E77" s="283"/>
      <c r="F77" s="283"/>
      <c r="G77" s="283"/>
      <c r="H77" s="283"/>
      <c r="I77" s="47"/>
      <c r="J77" s="47"/>
    </row>
    <row r="78" spans="1:11" s="50" customFormat="1">
      <c r="A78" s="63"/>
      <c r="D78" s="283"/>
      <c r="E78" s="283"/>
      <c r="F78" s="283"/>
      <c r="G78" s="283"/>
      <c r="H78" s="283"/>
      <c r="I78" s="47"/>
      <c r="J78" s="47"/>
    </row>
    <row r="79" spans="1:11" s="50" customFormat="1">
      <c r="A79" s="63"/>
      <c r="D79" s="283"/>
      <c r="E79" s="283"/>
      <c r="F79" s="283"/>
      <c r="G79" s="283"/>
      <c r="H79" s="283"/>
      <c r="I79" s="47"/>
      <c r="J79" s="47"/>
    </row>
    <row r="80" spans="1:11" s="50" customFormat="1">
      <c r="A80" s="63"/>
      <c r="I80" s="47"/>
      <c r="J80" s="47"/>
    </row>
    <row r="81" spans="1:10" s="50" customFormat="1">
      <c r="A81" s="63"/>
      <c r="I81" s="47"/>
      <c r="J81" s="47"/>
    </row>
    <row r="82" spans="1:10" s="50" customFormat="1">
      <c r="A82" s="63"/>
      <c r="I82" s="47"/>
      <c r="J82" s="47"/>
    </row>
    <row r="83" spans="1:10" s="50" customFormat="1">
      <c r="A83" s="63"/>
      <c r="D83" s="283"/>
      <c r="E83" s="283"/>
      <c r="F83" s="283"/>
      <c r="G83" s="283"/>
      <c r="H83" s="283"/>
      <c r="I83" s="47"/>
      <c r="J83" s="47"/>
    </row>
    <row r="84" spans="1:10" s="50" customFormat="1">
      <c r="A84" s="63"/>
      <c r="D84" s="283"/>
      <c r="E84" s="283"/>
      <c r="F84" s="283"/>
      <c r="G84" s="283"/>
      <c r="H84" s="283"/>
      <c r="I84" s="47"/>
      <c r="J84" s="47"/>
    </row>
    <row r="85" spans="1:10" s="50" customFormat="1">
      <c r="A85" s="63"/>
      <c r="D85" s="283"/>
      <c r="E85" s="283"/>
      <c r="F85" s="283"/>
      <c r="G85" s="283"/>
      <c r="H85" s="283"/>
      <c r="I85" s="47"/>
      <c r="J85" s="47"/>
    </row>
    <row r="86" spans="1:10" s="50" customFormat="1">
      <c r="A86" s="63"/>
      <c r="D86" s="283"/>
      <c r="E86" s="283"/>
      <c r="F86" s="283"/>
      <c r="G86" s="283"/>
      <c r="H86" s="283"/>
      <c r="I86" s="47"/>
      <c r="J86" s="47"/>
    </row>
    <row r="87" spans="1:10" s="50" customFormat="1">
      <c r="A87" s="63"/>
      <c r="D87" s="283"/>
      <c r="E87" s="283"/>
      <c r="F87" s="283"/>
      <c r="G87" s="283"/>
      <c r="H87" s="283"/>
      <c r="I87" s="47"/>
      <c r="J87" s="47"/>
    </row>
    <row r="88" spans="1:10" s="50" customFormat="1">
      <c r="A88" s="63"/>
      <c r="D88" s="283"/>
      <c r="E88" s="283"/>
      <c r="F88" s="283"/>
      <c r="G88" s="283"/>
      <c r="H88" s="283"/>
      <c r="I88" s="47"/>
      <c r="J88" s="47"/>
    </row>
    <row r="89" spans="1:10" s="50" customFormat="1">
      <c r="A89" s="63"/>
      <c r="D89" s="283"/>
      <c r="E89" s="283"/>
      <c r="F89" s="283"/>
      <c r="G89" s="283"/>
      <c r="H89" s="283"/>
      <c r="I89" s="47"/>
      <c r="J89" s="47"/>
    </row>
    <row r="90" spans="1:10" s="50" customFormat="1">
      <c r="A90" s="63"/>
      <c r="D90" s="283"/>
      <c r="E90" s="283"/>
      <c r="F90" s="283"/>
      <c r="G90" s="283"/>
      <c r="H90" s="283"/>
      <c r="I90" s="47"/>
      <c r="J90" s="47"/>
    </row>
    <row r="91" spans="1:10" s="50" customFormat="1">
      <c r="A91" s="63"/>
      <c r="D91" s="283"/>
      <c r="E91" s="283"/>
      <c r="F91" s="283"/>
      <c r="G91" s="283"/>
      <c r="H91" s="283"/>
      <c r="I91" s="47"/>
      <c r="J91" s="47"/>
    </row>
    <row r="92" spans="1:10" s="50" customFormat="1">
      <c r="A92" s="63"/>
      <c r="D92" s="283"/>
      <c r="E92" s="283"/>
      <c r="F92" s="283"/>
      <c r="G92" s="283"/>
      <c r="H92" s="283"/>
      <c r="I92" s="47"/>
      <c r="J92" s="47"/>
    </row>
    <row r="93" spans="1:10" s="50" customFormat="1">
      <c r="A93" s="63"/>
      <c r="D93" s="283"/>
      <c r="E93" s="283"/>
      <c r="F93" s="283"/>
      <c r="G93" s="283"/>
      <c r="H93" s="283"/>
      <c r="I93" s="47"/>
      <c r="J93" s="47"/>
    </row>
    <row r="94" spans="1:10" s="50" customFormat="1">
      <c r="A94" s="63"/>
      <c r="I94" s="47"/>
      <c r="J94" s="47"/>
    </row>
    <row r="95" spans="1:10" s="50" customFormat="1">
      <c r="A95" s="63"/>
      <c r="D95" s="283"/>
      <c r="E95" s="283"/>
      <c r="F95" s="283"/>
      <c r="G95" s="283"/>
      <c r="H95" s="283"/>
      <c r="I95" s="47"/>
      <c r="J95" s="47"/>
    </row>
    <row r="96" spans="1:10" s="50" customFormat="1">
      <c r="A96" s="332" t="s">
        <v>519</v>
      </c>
      <c r="D96" s="283"/>
      <c r="E96" s="283"/>
      <c r="F96" s="283"/>
      <c r="G96" s="283"/>
      <c r="H96" s="283" t="s">
        <v>520</v>
      </c>
      <c r="I96" s="47"/>
      <c r="J96" s="47"/>
    </row>
    <row r="97" spans="1:10" s="50" customFormat="1">
      <c r="A97" s="50" t="s">
        <v>68</v>
      </c>
      <c r="D97" s="283"/>
      <c r="E97" s="283"/>
      <c r="F97" s="283"/>
      <c r="G97" s="283"/>
      <c r="H97" s="283"/>
      <c r="I97" s="47"/>
      <c r="J97" s="47"/>
    </row>
    <row r="98" spans="1:10" s="50" customFormat="1">
      <c r="A98" s="63"/>
      <c r="D98" s="283"/>
      <c r="E98" s="283"/>
      <c r="F98" s="283"/>
      <c r="G98" s="283"/>
      <c r="H98" s="283"/>
      <c r="I98" s="47"/>
      <c r="J98" s="47"/>
    </row>
    <row r="99" spans="1:10" s="50" customFormat="1">
      <c r="A99" s="63"/>
      <c r="D99" s="283"/>
      <c r="E99" s="283"/>
      <c r="F99" s="283"/>
      <c r="G99" s="283"/>
      <c r="H99" s="283"/>
      <c r="I99" s="47"/>
      <c r="J99" s="47"/>
    </row>
    <row r="100" spans="1:10" s="50" customFormat="1">
      <c r="A100" s="63"/>
      <c r="D100" s="283"/>
      <c r="E100" s="283"/>
      <c r="F100" s="283"/>
      <c r="G100" s="283"/>
      <c r="H100" s="283"/>
      <c r="I100" s="47"/>
      <c r="J100" s="47"/>
    </row>
    <row r="101" spans="1:10" s="50" customFormat="1">
      <c r="A101" s="63"/>
      <c r="D101" s="283"/>
      <c r="E101" s="283"/>
      <c r="F101" s="283"/>
      <c r="G101" s="283"/>
      <c r="H101" s="283"/>
      <c r="I101" s="47"/>
      <c r="J101" s="47"/>
    </row>
    <row r="102" spans="1:10" s="50" customFormat="1">
      <c r="A102" s="63"/>
      <c r="D102" s="283"/>
      <c r="E102" s="283"/>
      <c r="F102" s="283"/>
      <c r="G102" s="283"/>
      <c r="H102" s="283"/>
      <c r="I102" s="47"/>
      <c r="J102" s="47"/>
    </row>
    <row r="103" spans="1:10" s="50" customFormat="1">
      <c r="A103" s="63"/>
      <c r="D103" s="283"/>
      <c r="E103" s="283"/>
      <c r="F103" s="283"/>
      <c r="G103" s="283"/>
      <c r="H103" s="283"/>
      <c r="I103" s="47"/>
      <c r="J103" s="47"/>
    </row>
    <row r="104" spans="1:10" s="50" customFormat="1">
      <c r="A104" s="63"/>
      <c r="D104" s="283"/>
      <c r="E104" s="283"/>
      <c r="F104" s="283"/>
      <c r="G104" s="283"/>
      <c r="H104" s="283"/>
      <c r="I104" s="47"/>
      <c r="J104" s="47"/>
    </row>
    <row r="105" spans="1:10" s="50" customFormat="1">
      <c r="A105" s="63"/>
      <c r="D105" s="283"/>
      <c r="E105" s="283"/>
      <c r="F105" s="283"/>
      <c r="G105" s="283"/>
      <c r="H105" s="283"/>
      <c r="I105" s="47"/>
      <c r="J105" s="47"/>
    </row>
    <row r="106" spans="1:10" s="50" customFormat="1">
      <c r="A106" s="63"/>
      <c r="D106" s="283"/>
      <c r="E106" s="283"/>
      <c r="F106" s="283"/>
      <c r="G106" s="283"/>
      <c r="H106" s="283"/>
      <c r="I106" s="47"/>
      <c r="J106" s="47"/>
    </row>
    <row r="107" spans="1:10" s="50" customFormat="1">
      <c r="A107" s="63"/>
      <c r="D107" s="283"/>
      <c r="E107" s="283"/>
      <c r="F107" s="283"/>
      <c r="G107" s="283"/>
      <c r="H107" s="283"/>
      <c r="I107" s="47"/>
      <c r="J107" s="47"/>
    </row>
    <row r="108" spans="1:10" s="50" customFormat="1">
      <c r="A108" s="63"/>
      <c r="I108" s="47"/>
      <c r="J108" s="47"/>
    </row>
    <row r="109" spans="1:10" s="50" customFormat="1">
      <c r="A109" s="63"/>
      <c r="I109" s="47"/>
      <c r="J109" s="47"/>
    </row>
    <row r="110" spans="1:10" s="50" customFormat="1">
      <c r="A110" s="63"/>
      <c r="E110" s="283"/>
      <c r="F110" s="283"/>
      <c r="G110" s="283"/>
      <c r="H110" s="283"/>
      <c r="I110" s="47"/>
      <c r="J110" s="47"/>
    </row>
    <row r="111" spans="1:10" s="50" customFormat="1">
      <c r="A111" s="63"/>
      <c r="E111" s="283"/>
      <c r="F111" s="283"/>
      <c r="G111" s="283"/>
      <c r="H111" s="283"/>
      <c r="I111" s="47"/>
      <c r="J111" s="47"/>
    </row>
    <row r="112" spans="1:10" s="50" customFormat="1">
      <c r="A112" s="63"/>
      <c r="I112" s="47"/>
      <c r="J112" s="47"/>
    </row>
    <row r="113" spans="1:10" s="50" customFormat="1">
      <c r="A113" s="63"/>
      <c r="I113" s="47"/>
      <c r="J113" s="47"/>
    </row>
    <row r="114" spans="1:10" s="50" customFormat="1">
      <c r="A114" s="63"/>
      <c r="I114" s="47"/>
      <c r="J114" s="47"/>
    </row>
    <row r="115" spans="1:10" s="50" customFormat="1">
      <c r="A115" s="63"/>
      <c r="I115" s="47"/>
      <c r="J115" s="47"/>
    </row>
    <row r="116" spans="1:10" s="50" customFormat="1">
      <c r="A116" s="63"/>
      <c r="I116" s="47"/>
      <c r="J116" s="47"/>
    </row>
    <row r="117" spans="1:10" s="50" customFormat="1">
      <c r="A117" s="318"/>
      <c r="E117" s="283"/>
      <c r="F117" s="283"/>
      <c r="G117" s="283"/>
      <c r="H117" s="283"/>
      <c r="I117" s="47"/>
      <c r="J117" s="47"/>
    </row>
    <row r="118" spans="1:10" s="50" customFormat="1">
      <c r="E118" s="283"/>
      <c r="F118" s="283"/>
      <c r="G118" s="283"/>
      <c r="H118" s="283"/>
      <c r="I118" s="47"/>
      <c r="J118" s="47"/>
    </row>
    <row r="119" spans="1:10" s="50" customFormat="1">
      <c r="A119" s="63"/>
      <c r="E119" s="283"/>
      <c r="F119" s="283"/>
      <c r="G119" s="283"/>
      <c r="H119" s="283"/>
      <c r="I119" s="47"/>
      <c r="J119" s="47"/>
    </row>
    <row r="120" spans="1:10" s="50" customFormat="1">
      <c r="A120" s="63"/>
      <c r="E120" s="283"/>
      <c r="F120" s="283"/>
      <c r="G120" s="283"/>
      <c r="H120" s="283"/>
      <c r="I120" s="47"/>
      <c r="J120" s="47"/>
    </row>
    <row r="121" spans="1:10" s="50" customFormat="1">
      <c r="A121" s="63"/>
      <c r="E121" s="283"/>
      <c r="F121" s="283"/>
      <c r="G121" s="283"/>
      <c r="H121" s="283"/>
      <c r="I121" s="47"/>
      <c r="J121" s="47"/>
    </row>
    <row r="122" spans="1:10" s="50" customFormat="1">
      <c r="A122" s="63"/>
      <c r="E122" s="283"/>
      <c r="F122" s="283"/>
      <c r="G122" s="283"/>
      <c r="H122" s="283"/>
      <c r="I122" s="47"/>
      <c r="J122" s="47"/>
    </row>
    <row r="123" spans="1:10" s="50" customFormat="1">
      <c r="A123" s="63"/>
      <c r="E123" s="283"/>
      <c r="F123" s="283"/>
      <c r="G123" s="283"/>
      <c r="H123" s="283"/>
      <c r="I123" s="47"/>
      <c r="J123" s="47"/>
    </row>
    <row r="124" spans="1:10" s="50" customFormat="1">
      <c r="A124" s="63"/>
      <c r="E124" s="283"/>
      <c r="F124" s="283"/>
      <c r="G124" s="283"/>
      <c r="H124" s="283"/>
      <c r="I124" s="47"/>
      <c r="J124" s="47"/>
    </row>
    <row r="125" spans="1:10" s="50" customFormat="1">
      <c r="A125" s="63"/>
      <c r="E125" s="283"/>
      <c r="F125" s="283"/>
      <c r="G125" s="283"/>
      <c r="H125" s="283"/>
      <c r="I125" s="47"/>
      <c r="J125" s="47"/>
    </row>
    <row r="126" spans="1:10" s="50" customFormat="1">
      <c r="A126" s="63"/>
      <c r="E126" s="283"/>
      <c r="F126" s="283"/>
      <c r="G126" s="283"/>
      <c r="H126" s="283"/>
      <c r="I126" s="47"/>
      <c r="J126" s="47"/>
    </row>
    <row r="127" spans="1:10" s="50" customFormat="1">
      <c r="A127" s="63"/>
      <c r="E127" s="283"/>
      <c r="F127" s="283"/>
      <c r="G127" s="283"/>
      <c r="H127" s="283"/>
      <c r="I127" s="47"/>
      <c r="J127" s="47"/>
    </row>
    <row r="128" spans="1:10" s="50" customFormat="1">
      <c r="A128" s="63"/>
      <c r="E128" s="283"/>
      <c r="F128" s="283"/>
      <c r="G128" s="283"/>
      <c r="H128" s="283"/>
      <c r="I128" s="47"/>
      <c r="J128" s="47"/>
    </row>
    <row r="129" spans="1:10" s="50" customFormat="1">
      <c r="A129" s="63"/>
      <c r="I129" s="47"/>
      <c r="J129" s="47"/>
    </row>
    <row r="130" spans="1:10" s="50" customFormat="1">
      <c r="A130" s="63"/>
      <c r="I130" s="47"/>
      <c r="J130" s="47"/>
    </row>
    <row r="131" spans="1:10" s="50" customFormat="1">
      <c r="A131" s="63"/>
      <c r="I131" s="47"/>
      <c r="J131" s="47"/>
    </row>
    <row r="132" spans="1:10" s="50" customFormat="1">
      <c r="A132" s="63"/>
      <c r="I132" s="47"/>
      <c r="J132" s="47"/>
    </row>
    <row r="133" spans="1:10" s="50" customFormat="1">
      <c r="A133" s="63"/>
      <c r="I133" s="47"/>
      <c r="J133" s="47"/>
    </row>
    <row r="134" spans="1:10" s="50" customFormat="1">
      <c r="A134" s="63"/>
      <c r="I134" s="47"/>
      <c r="J134" s="47"/>
    </row>
    <row r="135" spans="1:10" s="50" customFormat="1">
      <c r="A135" s="63"/>
      <c r="I135" s="47"/>
      <c r="J135" s="47"/>
    </row>
    <row r="136" spans="1:10" s="50" customFormat="1">
      <c r="A136" s="63"/>
      <c r="I136" s="47"/>
      <c r="J136" s="47"/>
    </row>
    <row r="137" spans="1:10" s="50" customFormat="1">
      <c r="A137" s="63"/>
      <c r="I137" s="47"/>
      <c r="J137" s="47"/>
    </row>
    <row r="138" spans="1:10" s="50" customFormat="1">
      <c r="A138" s="63"/>
      <c r="I138" s="47"/>
      <c r="J138" s="47"/>
    </row>
    <row r="139" spans="1:10" s="50" customFormat="1">
      <c r="A139" s="63"/>
      <c r="I139" s="47"/>
      <c r="J139" s="47"/>
    </row>
    <row r="140" spans="1:10" s="50" customFormat="1">
      <c r="A140" s="63"/>
      <c r="I140" s="47"/>
      <c r="J140" s="47"/>
    </row>
    <row r="141" spans="1:10" s="50" customFormat="1">
      <c r="A141" s="63"/>
      <c r="I141" s="47"/>
      <c r="J141" s="47"/>
    </row>
    <row r="142" spans="1:10" s="50" customFormat="1">
      <c r="A142" s="63"/>
      <c r="I142" s="47"/>
      <c r="J142" s="47"/>
    </row>
    <row r="143" spans="1:10" s="50" customFormat="1">
      <c r="A143" s="63"/>
      <c r="I143" s="47"/>
      <c r="J143" s="47"/>
    </row>
    <row r="144" spans="1:10" s="50" customFormat="1">
      <c r="A144" s="63"/>
      <c r="I144" s="47"/>
      <c r="J144" s="47"/>
    </row>
    <row r="145" spans="1:10" s="50" customFormat="1">
      <c r="A145" s="63"/>
      <c r="I145" s="47"/>
      <c r="J145" s="47"/>
    </row>
    <row r="146" spans="1:10" s="50" customFormat="1">
      <c r="A146" s="63"/>
      <c r="I146" s="47"/>
      <c r="J146" s="47"/>
    </row>
    <row r="147" spans="1:10" s="50" customFormat="1">
      <c r="A147" s="63"/>
      <c r="I147" s="47"/>
      <c r="J147" s="47"/>
    </row>
    <row r="148" spans="1:10" s="50" customFormat="1">
      <c r="A148" s="63"/>
      <c r="I148" s="47"/>
      <c r="J148" s="47"/>
    </row>
    <row r="149" spans="1:10" s="50" customFormat="1">
      <c r="A149" s="63"/>
      <c r="I149" s="47"/>
      <c r="J149" s="47"/>
    </row>
    <row r="150" spans="1:10" s="50" customFormat="1">
      <c r="A150" s="63"/>
      <c r="I150" s="47"/>
      <c r="J150" s="47"/>
    </row>
    <row r="151" spans="1:10" s="50" customFormat="1">
      <c r="A151" s="63"/>
      <c r="I151" s="47"/>
      <c r="J151" s="47"/>
    </row>
    <row r="152" spans="1:10" s="50" customFormat="1">
      <c r="A152" s="63"/>
      <c r="I152" s="47"/>
      <c r="J152" s="47"/>
    </row>
    <row r="153" spans="1:10" s="50" customFormat="1">
      <c r="A153" s="63"/>
      <c r="I153" s="47"/>
      <c r="J153" s="47"/>
    </row>
    <row r="154" spans="1:10" s="50" customFormat="1">
      <c r="A154" s="63"/>
      <c r="I154" s="47"/>
      <c r="J154" s="47"/>
    </row>
    <row r="155" spans="1:10" s="50" customFormat="1">
      <c r="A155" s="63"/>
      <c r="I155" s="47"/>
      <c r="J155" s="47"/>
    </row>
    <row r="156" spans="1:10" s="50" customFormat="1">
      <c r="A156" s="63"/>
      <c r="I156" s="47"/>
      <c r="J156" s="47"/>
    </row>
    <row r="157" spans="1:10" s="50" customFormat="1">
      <c r="A157" s="63"/>
      <c r="I157" s="47"/>
      <c r="J157" s="47"/>
    </row>
    <row r="158" spans="1:10" s="50" customFormat="1">
      <c r="A158" s="63"/>
      <c r="I158" s="47"/>
      <c r="J158" s="47"/>
    </row>
    <row r="159" spans="1:10" s="50" customFormat="1">
      <c r="A159" s="63"/>
      <c r="I159" s="47"/>
      <c r="J159" s="47"/>
    </row>
    <row r="160" spans="1:10" s="50" customFormat="1">
      <c r="A160" s="63"/>
      <c r="I160" s="47"/>
      <c r="J160" s="47"/>
    </row>
    <row r="161" spans="1:10" s="50" customFormat="1">
      <c r="A161" s="63"/>
      <c r="I161" s="47"/>
      <c r="J161" s="47"/>
    </row>
    <row r="162" spans="1:10" s="50" customFormat="1">
      <c r="A162" s="63"/>
      <c r="I162" s="47"/>
      <c r="J162" s="47"/>
    </row>
    <row r="163" spans="1:10" s="50" customFormat="1">
      <c r="A163" s="63"/>
      <c r="I163" s="47"/>
      <c r="J163" s="47"/>
    </row>
    <row r="164" spans="1:10" s="50" customFormat="1">
      <c r="A164" s="63"/>
      <c r="I164" s="47"/>
      <c r="J164" s="47"/>
    </row>
    <row r="165" spans="1:10" s="50" customFormat="1">
      <c r="A165" s="63"/>
      <c r="G165" s="283"/>
      <c r="H165" s="283"/>
      <c r="I165" s="47"/>
      <c r="J165" s="47"/>
    </row>
    <row r="166" spans="1:10" s="50" customFormat="1">
      <c r="A166" s="63"/>
      <c r="G166" s="283"/>
      <c r="H166" s="283"/>
      <c r="I166" s="47"/>
      <c r="J166" s="47"/>
    </row>
    <row r="167" spans="1:10" s="50" customFormat="1">
      <c r="A167" s="63"/>
      <c r="G167" s="283"/>
      <c r="H167" s="283"/>
      <c r="I167" s="47"/>
      <c r="J167" s="47"/>
    </row>
    <row r="168" spans="1:10" s="50" customFormat="1">
      <c r="A168" s="63"/>
      <c r="G168" s="283"/>
      <c r="H168" s="283"/>
      <c r="I168" s="47"/>
      <c r="J168" s="47"/>
    </row>
    <row r="169" spans="1:10" s="50" customFormat="1">
      <c r="A169" s="63"/>
      <c r="G169" s="283"/>
      <c r="H169" s="283"/>
      <c r="I169" s="47"/>
      <c r="J169" s="47"/>
    </row>
    <row r="170" spans="1:10" s="50" customFormat="1">
      <c r="A170" s="63"/>
      <c r="G170" s="283"/>
      <c r="H170" s="283"/>
      <c r="I170" s="47"/>
      <c r="J170" s="47"/>
    </row>
    <row r="171" spans="1:10" s="50" customFormat="1">
      <c r="A171" s="63"/>
      <c r="G171" s="283"/>
      <c r="H171" s="283"/>
      <c r="I171" s="47"/>
      <c r="J171" s="47"/>
    </row>
    <row r="172" spans="1:10" s="50" customFormat="1">
      <c r="A172" s="63"/>
      <c r="I172" s="47"/>
      <c r="J172" s="47"/>
    </row>
    <row r="173" spans="1:10" s="50" customFormat="1">
      <c r="A173" s="63"/>
      <c r="I173" s="47"/>
      <c r="J173" s="47"/>
    </row>
    <row r="174" spans="1:10" s="50" customFormat="1">
      <c r="A174" s="63"/>
      <c r="I174" s="47"/>
      <c r="J174" s="47"/>
    </row>
    <row r="175" spans="1:10" s="50" customFormat="1">
      <c r="I175" s="47"/>
      <c r="J175" s="47"/>
    </row>
    <row r="176" spans="1:10" s="50" customFormat="1">
      <c r="I176" s="47"/>
      <c r="J176" s="47"/>
    </row>
    <row r="177" spans="1:10" s="50" customFormat="1">
      <c r="A177" s="63"/>
      <c r="I177" s="47"/>
      <c r="J177" s="47"/>
    </row>
    <row r="178" spans="1:10" s="50" customFormat="1">
      <c r="A178" s="63"/>
      <c r="I178" s="47"/>
      <c r="J178" s="47"/>
    </row>
    <row r="179" spans="1:10" s="50" customFormat="1">
      <c r="A179" s="63"/>
      <c r="I179" s="47"/>
      <c r="J179" s="47"/>
    </row>
    <row r="180" spans="1:10" s="50" customFormat="1">
      <c r="A180" s="63"/>
      <c r="I180" s="47"/>
      <c r="J180" s="47"/>
    </row>
    <row r="181" spans="1:10" s="50" customFormat="1">
      <c r="A181" s="63"/>
      <c r="I181" s="47"/>
      <c r="J181" s="47"/>
    </row>
    <row r="182" spans="1:10" s="50" customFormat="1">
      <c r="A182" s="63"/>
      <c r="I182" s="47"/>
      <c r="J182" s="47"/>
    </row>
    <row r="183" spans="1:10" s="50" customFormat="1">
      <c r="A183" s="63"/>
      <c r="I183" s="47"/>
      <c r="J183" s="47"/>
    </row>
    <row r="184" spans="1:10" s="50" customFormat="1">
      <c r="A184" s="63"/>
      <c r="I184" s="47"/>
      <c r="J184" s="47"/>
    </row>
    <row r="185" spans="1:10" s="50" customFormat="1">
      <c r="A185" s="63"/>
      <c r="I185" s="47"/>
      <c r="J185" s="47"/>
    </row>
    <row r="186" spans="1:10" s="50" customFormat="1">
      <c r="A186" s="63"/>
      <c r="I186" s="47"/>
      <c r="J186" s="47"/>
    </row>
    <row r="187" spans="1:10" s="50" customFormat="1">
      <c r="A187" s="63"/>
      <c r="I187" s="47"/>
      <c r="J187" s="47"/>
    </row>
    <row r="188" spans="1:10" s="50" customFormat="1">
      <c r="A188" s="63"/>
      <c r="I188" s="47"/>
      <c r="J188" s="47"/>
    </row>
    <row r="189" spans="1:10" s="50" customFormat="1">
      <c r="A189" s="63"/>
      <c r="I189" s="47"/>
      <c r="J189" s="47"/>
    </row>
    <row r="190" spans="1:10" s="50" customFormat="1">
      <c r="A190" s="63"/>
      <c r="I190" s="47"/>
      <c r="J190" s="47"/>
    </row>
    <row r="191" spans="1:10" s="50" customFormat="1">
      <c r="A191" s="63"/>
      <c r="I191" s="47"/>
      <c r="J191" s="47"/>
    </row>
    <row r="192" spans="1:10" s="50" customFormat="1">
      <c r="A192" s="63"/>
      <c r="I192" s="47"/>
      <c r="J192" s="47"/>
    </row>
    <row r="193" spans="1:10" s="50" customFormat="1">
      <c r="A193" s="63"/>
      <c r="I193" s="47"/>
      <c r="J193" s="47"/>
    </row>
    <row r="194" spans="1:10" s="50" customFormat="1">
      <c r="A194" s="63"/>
      <c r="I194" s="47"/>
      <c r="J194" s="47"/>
    </row>
    <row r="195" spans="1:10" s="50" customFormat="1">
      <c r="A195" s="63"/>
      <c r="I195" s="47"/>
      <c r="J195" s="47"/>
    </row>
    <row r="196" spans="1:10" s="50" customFormat="1">
      <c r="A196" s="63"/>
      <c r="I196" s="47"/>
      <c r="J196" s="47"/>
    </row>
    <row r="197" spans="1:10" s="50" customFormat="1">
      <c r="A197" s="63"/>
      <c r="I197" s="47"/>
      <c r="J197" s="47"/>
    </row>
    <row r="198" spans="1:10" s="50" customFormat="1">
      <c r="A198" s="63"/>
      <c r="I198" s="47"/>
      <c r="J198" s="47"/>
    </row>
  </sheetData>
  <mergeCells count="13">
    <mergeCell ref="F47:H47"/>
    <mergeCell ref="A2:H2"/>
    <mergeCell ref="A3:A4"/>
    <mergeCell ref="B3:B4"/>
    <mergeCell ref="C3:D3"/>
    <mergeCell ref="E3:H3"/>
    <mergeCell ref="I10:K10"/>
    <mergeCell ref="A1:H1"/>
    <mergeCell ref="C48:D48"/>
    <mergeCell ref="F48:H48"/>
    <mergeCell ref="A6:H6"/>
    <mergeCell ref="A20:H20"/>
    <mergeCell ref="C47:D47"/>
  </mergeCells>
  <phoneticPr fontId="3" type="noConversion"/>
  <pageMargins left="1.1811023622047245" right="0.39370078740157483" top="0.78740157480314965" bottom="0.78740157480314965" header="0.19685039370078741" footer="0.11811023622047245"/>
  <pageSetup paperSize="9" scale="60" fitToHeight="2" orientation="landscape" verticalDpi="300" r:id="rId1"/>
  <headerFooter alignWithMargins="0">
    <oddHeader>&amp;C
7&amp;R
&amp;"Times New Roman,обычный"&amp;14Продовження додатка 3
Таблиця 2</oddHeader>
  </headerFooter>
  <rowBreaks count="1" manualBreakCount="1">
    <brk id="1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3"/>
  </sheetPr>
  <dimension ref="A1:K177"/>
  <sheetViews>
    <sheetView zoomScale="70" zoomScaleNormal="70" zoomScaleSheetLayoutView="75" workbookViewId="0">
      <pane xSplit="1" ySplit="5" topLeftCell="B69" activePane="bottomRight" state="frozen"/>
      <selection activeCell="F106" sqref="F106"/>
      <selection pane="topRight" activeCell="F106" sqref="F106"/>
      <selection pane="bottomLeft" activeCell="F106" sqref="F106"/>
      <selection pane="bottomRight" activeCell="A97" sqref="A97"/>
    </sheetView>
  </sheetViews>
  <sheetFormatPr defaultRowHeight="18.75"/>
  <cols>
    <col min="1" max="1" width="88" style="2" customWidth="1"/>
    <col min="2" max="2" width="15" style="2" customWidth="1"/>
    <col min="3" max="7" width="20.42578125" style="2" customWidth="1"/>
    <col min="8" max="8" width="18.42578125" style="2" customWidth="1"/>
    <col min="9" max="9" width="9.140625" style="2"/>
    <col min="10" max="10" width="14.42578125" style="2" bestFit="1" customWidth="1"/>
    <col min="11" max="16384" width="9.140625" style="2"/>
  </cols>
  <sheetData>
    <row r="1" spans="1:11">
      <c r="A1" s="363" t="s">
        <v>262</v>
      </c>
      <c r="B1" s="363"/>
      <c r="C1" s="363"/>
      <c r="D1" s="363"/>
      <c r="E1" s="363"/>
      <c r="F1" s="363"/>
      <c r="G1" s="363"/>
      <c r="H1" s="363"/>
    </row>
    <row r="2" spans="1:11">
      <c r="A2" s="22"/>
      <c r="B2" s="22"/>
      <c r="C2" s="22"/>
      <c r="D2" s="22"/>
      <c r="E2" s="22"/>
      <c r="F2" s="22"/>
      <c r="G2" s="22"/>
      <c r="H2" s="22"/>
    </row>
    <row r="3" spans="1:11" ht="48" customHeight="1">
      <c r="A3" s="373" t="s">
        <v>189</v>
      </c>
      <c r="B3" s="405" t="s">
        <v>0</v>
      </c>
      <c r="C3" s="373" t="s">
        <v>319</v>
      </c>
      <c r="D3" s="373"/>
      <c r="E3" s="372" t="s">
        <v>455</v>
      </c>
      <c r="F3" s="372"/>
      <c r="G3" s="372"/>
      <c r="H3" s="372"/>
    </row>
    <row r="4" spans="1:11" ht="38.25" customHeight="1">
      <c r="A4" s="373"/>
      <c r="B4" s="405"/>
      <c r="C4" s="7" t="s">
        <v>176</v>
      </c>
      <c r="D4" s="7" t="s">
        <v>177</v>
      </c>
      <c r="E4" s="7" t="s">
        <v>178</v>
      </c>
      <c r="F4" s="7" t="s">
        <v>166</v>
      </c>
      <c r="G4" s="74" t="s">
        <v>184</v>
      </c>
      <c r="H4" s="74" t="s">
        <v>185</v>
      </c>
    </row>
    <row r="5" spans="1:11">
      <c r="A5" s="74">
        <v>1</v>
      </c>
      <c r="B5" s="140">
        <v>2</v>
      </c>
      <c r="C5" s="74">
        <v>3</v>
      </c>
      <c r="D5" s="140">
        <v>4</v>
      </c>
      <c r="E5" s="74">
        <v>5</v>
      </c>
      <c r="F5" s="140">
        <v>6</v>
      </c>
      <c r="G5" s="74">
        <v>7</v>
      </c>
      <c r="H5" s="140">
        <v>8</v>
      </c>
    </row>
    <row r="6" spans="1:11">
      <c r="A6" s="167" t="s">
        <v>270</v>
      </c>
      <c r="B6" s="142"/>
      <c r="C6" s="142"/>
      <c r="D6" s="142"/>
      <c r="E6" s="142"/>
      <c r="F6" s="142"/>
      <c r="G6" s="142"/>
      <c r="H6" s="143"/>
    </row>
    <row r="7" spans="1:11" s="62" customFormat="1" ht="24.95" customHeight="1">
      <c r="A7" s="152" t="s">
        <v>388</v>
      </c>
      <c r="B7" s="141">
        <v>3000</v>
      </c>
      <c r="C7" s="124">
        <f>SUM(C8:C9,C11:C19,C23)</f>
        <v>0</v>
      </c>
      <c r="D7" s="218">
        <f>SUM(D8:D9,D11:D19,D23)</f>
        <v>0</v>
      </c>
      <c r="E7" s="218">
        <f>SUM(E8+E11+E19+E23)</f>
        <v>9711.8499999999985</v>
      </c>
      <c r="F7" s="218">
        <f>SUM(F8+F11+F19+F23)</f>
        <v>0</v>
      </c>
      <c r="G7" s="295">
        <f>F7-E7</f>
        <v>-9711.8499999999985</v>
      </c>
      <c r="H7" s="296">
        <f>(F7/E7)*100</f>
        <v>0</v>
      </c>
    </row>
    <row r="8" spans="1:11" ht="18" customHeight="1">
      <c r="A8" s="8" t="s">
        <v>476</v>
      </c>
      <c r="B8" s="9">
        <v>3010</v>
      </c>
      <c r="C8" s="117"/>
      <c r="D8" s="297"/>
      <c r="E8" s="297"/>
      <c r="F8" s="298"/>
      <c r="G8" s="297">
        <f>F8-E8</f>
        <v>0</v>
      </c>
      <c r="H8" s="299" t="e">
        <f>(F8/E8)*100</f>
        <v>#DIV/0!</v>
      </c>
    </row>
    <row r="9" spans="1:11" ht="18" customHeight="1">
      <c r="A9" s="8" t="s">
        <v>263</v>
      </c>
      <c r="B9" s="9">
        <v>3020</v>
      </c>
      <c r="C9" s="117"/>
      <c r="D9" s="297"/>
      <c r="E9" s="297"/>
      <c r="F9" s="297"/>
      <c r="G9" s="297">
        <f t="shared" ref="G9:G23" si="0">F9-E9</f>
        <v>0</v>
      </c>
      <c r="H9" s="299" t="e">
        <f t="shared" ref="H9:H23" si="1">(F9/E9)*100</f>
        <v>#DIV/0!</v>
      </c>
    </row>
    <row r="10" spans="1:11" ht="18" customHeight="1">
      <c r="A10" s="8" t="s">
        <v>264</v>
      </c>
      <c r="B10" s="9">
        <v>3030</v>
      </c>
      <c r="C10" s="314"/>
      <c r="D10" s="298"/>
      <c r="E10" s="298"/>
      <c r="F10" s="297"/>
      <c r="G10" s="297">
        <f t="shared" ref="G10:G15" si="2">F10-E10</f>
        <v>0</v>
      </c>
      <c r="H10" s="299" t="e">
        <f t="shared" ref="H10:H15" si="3">(F10/E10)*100</f>
        <v>#DIV/0!</v>
      </c>
      <c r="I10" s="375"/>
      <c r="J10" s="367"/>
      <c r="K10" s="367"/>
    </row>
    <row r="11" spans="1:11" ht="18" customHeight="1">
      <c r="A11" s="8" t="s">
        <v>389</v>
      </c>
      <c r="B11" s="9">
        <v>3040</v>
      </c>
      <c r="C11" s="117"/>
      <c r="D11" s="297"/>
      <c r="E11" s="297">
        <f>SUM(E12:E17)</f>
        <v>9711.8499999999985</v>
      </c>
      <c r="F11" s="297"/>
      <c r="G11" s="297">
        <f t="shared" si="2"/>
        <v>-9711.8499999999985</v>
      </c>
      <c r="H11" s="299">
        <f t="shared" si="3"/>
        <v>0</v>
      </c>
    </row>
    <row r="12" spans="1:11">
      <c r="A12" s="214" t="s">
        <v>464</v>
      </c>
      <c r="B12" s="215" t="s">
        <v>473</v>
      </c>
      <c r="C12" s="117"/>
      <c r="D12" s="297"/>
      <c r="E12" s="297">
        <v>111.55</v>
      </c>
      <c r="F12" s="297"/>
      <c r="G12" s="297">
        <f t="shared" si="2"/>
        <v>-111.55</v>
      </c>
      <c r="H12" s="299">
        <f t="shared" si="3"/>
        <v>0</v>
      </c>
    </row>
    <row r="13" spans="1:11">
      <c r="A13" s="214" t="s">
        <v>466</v>
      </c>
      <c r="B13" s="215" t="s">
        <v>474</v>
      </c>
      <c r="C13" s="117"/>
      <c r="D13" s="297"/>
      <c r="E13" s="297">
        <v>75</v>
      </c>
      <c r="F13" s="297"/>
      <c r="G13" s="297">
        <f t="shared" si="2"/>
        <v>-75</v>
      </c>
      <c r="H13" s="299">
        <f t="shared" si="3"/>
        <v>0</v>
      </c>
    </row>
    <row r="14" spans="1:11" ht="47.25">
      <c r="A14" s="214" t="s">
        <v>469</v>
      </c>
      <c r="B14" s="215" t="s">
        <v>475</v>
      </c>
      <c r="C14" s="117"/>
      <c r="D14" s="297"/>
      <c r="E14" s="297">
        <f>'I. Фін результат'!E60</f>
        <v>9525.2999999999993</v>
      </c>
      <c r="F14" s="297"/>
      <c r="G14" s="297">
        <f t="shared" si="2"/>
        <v>-9525.2999999999993</v>
      </c>
      <c r="H14" s="299">
        <f t="shared" si="3"/>
        <v>0</v>
      </c>
      <c r="J14" s="249"/>
    </row>
    <row r="15" spans="1:11" ht="19.5">
      <c r="A15" s="213" t="s">
        <v>495</v>
      </c>
      <c r="B15" s="215" t="s">
        <v>486</v>
      </c>
      <c r="C15" s="117"/>
      <c r="D15" s="297"/>
      <c r="E15" s="297">
        <v>0</v>
      </c>
      <c r="F15" s="297"/>
      <c r="G15" s="297">
        <f t="shared" si="2"/>
        <v>0</v>
      </c>
      <c r="H15" s="299" t="e">
        <f t="shared" si="3"/>
        <v>#DIV/0!</v>
      </c>
      <c r="J15" s="249"/>
    </row>
    <row r="16" spans="1:11" ht="19.5">
      <c r="A16" s="213" t="s">
        <v>487</v>
      </c>
      <c r="B16" s="215" t="s">
        <v>512</v>
      </c>
      <c r="C16" s="117"/>
      <c r="D16" s="297"/>
      <c r="E16" s="297"/>
      <c r="F16" s="297"/>
      <c r="G16" s="297"/>
      <c r="H16" s="299" t="e">
        <f t="shared" si="1"/>
        <v>#DIV/0!</v>
      </c>
    </row>
    <row r="17" spans="1:8" ht="19.5">
      <c r="A17" s="213" t="s">
        <v>497</v>
      </c>
      <c r="B17" s="215" t="s">
        <v>513</v>
      </c>
      <c r="C17" s="117"/>
      <c r="D17" s="297"/>
      <c r="E17" s="297">
        <v>0</v>
      </c>
      <c r="F17" s="297"/>
      <c r="G17" s="297">
        <f>F17-E17</f>
        <v>0</v>
      </c>
      <c r="H17" s="299" t="e">
        <f>(F17/E17)*100</f>
        <v>#DIV/0!</v>
      </c>
    </row>
    <row r="18" spans="1:8" ht="18" customHeight="1">
      <c r="A18" s="8" t="s">
        <v>250</v>
      </c>
      <c r="B18" s="9">
        <v>3050</v>
      </c>
      <c r="C18" s="117"/>
      <c r="D18" s="297"/>
      <c r="E18" s="297"/>
      <c r="F18" s="297"/>
      <c r="G18" s="297">
        <f t="shared" si="0"/>
        <v>0</v>
      </c>
      <c r="H18" s="299" t="e">
        <f t="shared" si="1"/>
        <v>#DIV/0!</v>
      </c>
    </row>
    <row r="19" spans="1:8" ht="20.100000000000001" customHeight="1">
      <c r="A19" s="8" t="s">
        <v>80</v>
      </c>
      <c r="B19" s="9">
        <v>3060</v>
      </c>
      <c r="C19" s="155">
        <f>SUM(C20:C22)</f>
        <v>0</v>
      </c>
      <c r="D19" s="300">
        <f>SUM(D20:D22)</f>
        <v>0</v>
      </c>
      <c r="E19" s="300">
        <f>SUM(E20:E22)</f>
        <v>0</v>
      </c>
      <c r="F19" s="300">
        <f>SUM(F20:F22)</f>
        <v>0</v>
      </c>
      <c r="G19" s="297">
        <f t="shared" si="0"/>
        <v>0</v>
      </c>
      <c r="H19" s="299" t="e">
        <f t="shared" si="1"/>
        <v>#DIV/0!</v>
      </c>
    </row>
    <row r="20" spans="1:8" ht="18" customHeight="1">
      <c r="A20" s="8" t="s">
        <v>79</v>
      </c>
      <c r="B20" s="6">
        <v>3061</v>
      </c>
      <c r="C20" s="117"/>
      <c r="D20" s="297"/>
      <c r="E20" s="297"/>
      <c r="F20" s="297"/>
      <c r="G20" s="297">
        <f t="shared" si="0"/>
        <v>0</v>
      </c>
      <c r="H20" s="299" t="e">
        <f t="shared" si="1"/>
        <v>#DIV/0!</v>
      </c>
    </row>
    <row r="21" spans="1:8" ht="18" customHeight="1">
      <c r="A21" s="8" t="s">
        <v>81</v>
      </c>
      <c r="B21" s="6">
        <v>3062</v>
      </c>
      <c r="C21" s="117"/>
      <c r="D21" s="297"/>
      <c r="E21" s="297"/>
      <c r="F21" s="297"/>
      <c r="G21" s="297">
        <f t="shared" si="0"/>
        <v>0</v>
      </c>
      <c r="H21" s="299" t="e">
        <f t="shared" si="1"/>
        <v>#DIV/0!</v>
      </c>
    </row>
    <row r="22" spans="1:8" ht="18" customHeight="1">
      <c r="A22" s="8" t="s">
        <v>101</v>
      </c>
      <c r="B22" s="6">
        <v>3063</v>
      </c>
      <c r="C22" s="117"/>
      <c r="D22" s="297"/>
      <c r="E22" s="297"/>
      <c r="F22" s="297"/>
      <c r="G22" s="297">
        <f t="shared" si="0"/>
        <v>0</v>
      </c>
      <c r="H22" s="299" t="e">
        <f t="shared" si="1"/>
        <v>#DIV/0!</v>
      </c>
    </row>
    <row r="23" spans="1:8" ht="18" customHeight="1">
      <c r="A23" s="8" t="s">
        <v>370</v>
      </c>
      <c r="B23" s="9">
        <v>3070</v>
      </c>
      <c r="C23" s="117"/>
      <c r="D23" s="297"/>
      <c r="E23" s="297"/>
      <c r="F23" s="297"/>
      <c r="G23" s="297">
        <f t="shared" si="0"/>
        <v>0</v>
      </c>
      <c r="H23" s="299" t="e">
        <f t="shared" si="1"/>
        <v>#DIV/0!</v>
      </c>
    </row>
    <row r="24" spans="1:8" ht="20.100000000000001" customHeight="1">
      <c r="A24" s="10" t="s">
        <v>390</v>
      </c>
      <c r="B24" s="11">
        <v>3100</v>
      </c>
      <c r="C24" s="124">
        <f>SUM(C25:C28,C32,C42,C43)</f>
        <v>0</v>
      </c>
      <c r="D24" s="218">
        <f>SUM(D25:D28,D32,D42,D43)</f>
        <v>0</v>
      </c>
      <c r="E24" s="218">
        <f>SUM(E25:E28,E32,E42,E43,E46)</f>
        <v>-19237.199999999997</v>
      </c>
      <c r="F24" s="218">
        <f>SUM(F25:F28,F32,F42,F43)</f>
        <v>0</v>
      </c>
      <c r="G24" s="295">
        <f>F24-E24</f>
        <v>19237.199999999997</v>
      </c>
      <c r="H24" s="296">
        <f>(F24/E24)*100</f>
        <v>0</v>
      </c>
    </row>
    <row r="25" spans="1:8" ht="18" customHeight="1">
      <c r="A25" s="8" t="s">
        <v>252</v>
      </c>
      <c r="B25" s="9">
        <v>3110</v>
      </c>
      <c r="C25" s="117" t="s">
        <v>223</v>
      </c>
      <c r="D25" s="297" t="s">
        <v>223</v>
      </c>
      <c r="E25" s="297" t="s">
        <v>223</v>
      </c>
      <c r="F25" s="297" t="s">
        <v>223</v>
      </c>
      <c r="G25" s="297" t="e">
        <f>F25-E25</f>
        <v>#VALUE!</v>
      </c>
      <c r="H25" s="299" t="e">
        <f>(F25/E25)*100</f>
        <v>#VALUE!</v>
      </c>
    </row>
    <row r="26" spans="1:8" ht="18" customHeight="1">
      <c r="A26" s="8" t="s">
        <v>253</v>
      </c>
      <c r="B26" s="9">
        <v>3120</v>
      </c>
      <c r="C26" s="117" t="s">
        <v>223</v>
      </c>
      <c r="D26" s="297" t="s">
        <v>223</v>
      </c>
      <c r="E26" s="297" t="s">
        <v>223</v>
      </c>
      <c r="F26" s="297" t="s">
        <v>223</v>
      </c>
      <c r="G26" s="297" t="e">
        <f t="shared" ref="G26:G49" si="4">F26-E26</f>
        <v>#VALUE!</v>
      </c>
      <c r="H26" s="299" t="e">
        <f t="shared" ref="H26:H49" si="5">(F26/E26)*100</f>
        <v>#VALUE!</v>
      </c>
    </row>
    <row r="27" spans="1:8" ht="18" customHeight="1">
      <c r="A27" s="8" t="s">
        <v>6</v>
      </c>
      <c r="B27" s="9">
        <v>3130</v>
      </c>
      <c r="C27" s="117" t="s">
        <v>223</v>
      </c>
      <c r="D27" s="297" t="s">
        <v>223</v>
      </c>
      <c r="E27" s="297" t="s">
        <v>223</v>
      </c>
      <c r="F27" s="297" t="s">
        <v>223</v>
      </c>
      <c r="G27" s="297" t="e">
        <f t="shared" si="4"/>
        <v>#VALUE!</v>
      </c>
      <c r="H27" s="299" t="e">
        <f t="shared" si="5"/>
        <v>#VALUE!</v>
      </c>
    </row>
    <row r="28" spans="1:8" ht="18" customHeight="1">
      <c r="A28" s="8" t="s">
        <v>523</v>
      </c>
      <c r="B28" s="9">
        <v>3140</v>
      </c>
      <c r="C28" s="155">
        <f>SUM(C29:C31)</f>
        <v>0</v>
      </c>
      <c r="D28" s="300">
        <f>SUM(D29:D31)</f>
        <v>0</v>
      </c>
      <c r="E28" s="300">
        <f>SUM(E29:E31)</f>
        <v>0</v>
      </c>
      <c r="F28" s="300">
        <f>SUM(F29:F31)</f>
        <v>0</v>
      </c>
      <c r="G28" s="297">
        <f t="shared" si="4"/>
        <v>0</v>
      </c>
      <c r="H28" s="299" t="e">
        <f t="shared" si="5"/>
        <v>#DIV/0!</v>
      </c>
    </row>
    <row r="29" spans="1:8" ht="18" customHeight="1">
      <c r="A29" s="8" t="s">
        <v>79</v>
      </c>
      <c r="B29" s="6">
        <v>3141</v>
      </c>
      <c r="C29" s="117" t="s">
        <v>223</v>
      </c>
      <c r="D29" s="297" t="s">
        <v>223</v>
      </c>
      <c r="E29" s="297" t="s">
        <v>223</v>
      </c>
      <c r="F29" s="297" t="s">
        <v>223</v>
      </c>
      <c r="G29" s="297" t="e">
        <f t="shared" si="4"/>
        <v>#VALUE!</v>
      </c>
      <c r="H29" s="299" t="e">
        <f t="shared" si="5"/>
        <v>#VALUE!</v>
      </c>
    </row>
    <row r="30" spans="1:8" ht="18" customHeight="1">
      <c r="A30" s="8" t="s">
        <v>81</v>
      </c>
      <c r="B30" s="6">
        <v>3142</v>
      </c>
      <c r="C30" s="117" t="s">
        <v>223</v>
      </c>
      <c r="D30" s="297" t="s">
        <v>223</v>
      </c>
      <c r="E30" s="297" t="s">
        <v>223</v>
      </c>
      <c r="F30" s="297" t="s">
        <v>223</v>
      </c>
      <c r="G30" s="297" t="e">
        <f t="shared" si="4"/>
        <v>#VALUE!</v>
      </c>
      <c r="H30" s="299" t="e">
        <f t="shared" si="5"/>
        <v>#VALUE!</v>
      </c>
    </row>
    <row r="31" spans="1:8" ht="18" customHeight="1">
      <c r="A31" s="8" t="s">
        <v>101</v>
      </c>
      <c r="B31" s="6">
        <v>3143</v>
      </c>
      <c r="C31" s="117" t="s">
        <v>223</v>
      </c>
      <c r="D31" s="297" t="s">
        <v>223</v>
      </c>
      <c r="E31" s="297" t="s">
        <v>223</v>
      </c>
      <c r="F31" s="297" t="s">
        <v>223</v>
      </c>
      <c r="G31" s="297" t="e">
        <f t="shared" si="4"/>
        <v>#VALUE!</v>
      </c>
      <c r="H31" s="299" t="e">
        <f t="shared" si="5"/>
        <v>#VALUE!</v>
      </c>
    </row>
    <row r="32" spans="1:8" ht="36" customHeight="1">
      <c r="A32" s="8" t="s">
        <v>427</v>
      </c>
      <c r="B32" s="9">
        <v>3150</v>
      </c>
      <c r="C32" s="155">
        <f>SUM(C33:C38,C41)</f>
        <v>0</v>
      </c>
      <c r="D32" s="300">
        <f>SUM(D33:D38,D41)</f>
        <v>0</v>
      </c>
      <c r="E32" s="300">
        <f>SUM(E33:E38,E41)</f>
        <v>0</v>
      </c>
      <c r="F32" s="300">
        <f>SUM(F33:F38,F41)</f>
        <v>0</v>
      </c>
      <c r="G32" s="297">
        <f t="shared" si="4"/>
        <v>0</v>
      </c>
      <c r="H32" s="299" t="e">
        <f t="shared" si="5"/>
        <v>#DIV/0!</v>
      </c>
    </row>
    <row r="33" spans="1:9" ht="18" customHeight="1">
      <c r="A33" s="8" t="s">
        <v>254</v>
      </c>
      <c r="B33" s="6">
        <v>3151</v>
      </c>
      <c r="C33" s="117" t="s">
        <v>223</v>
      </c>
      <c r="D33" s="297" t="s">
        <v>223</v>
      </c>
      <c r="E33" s="297" t="s">
        <v>223</v>
      </c>
      <c r="F33" s="297" t="s">
        <v>223</v>
      </c>
      <c r="G33" s="297" t="e">
        <f t="shared" si="4"/>
        <v>#VALUE!</v>
      </c>
      <c r="H33" s="299" t="e">
        <f t="shared" si="5"/>
        <v>#VALUE!</v>
      </c>
    </row>
    <row r="34" spans="1:9" ht="18" customHeight="1">
      <c r="A34" s="8" t="s">
        <v>255</v>
      </c>
      <c r="B34" s="6">
        <v>3152</v>
      </c>
      <c r="C34" s="117" t="s">
        <v>223</v>
      </c>
      <c r="D34" s="297" t="s">
        <v>223</v>
      </c>
      <c r="E34" s="297" t="s">
        <v>223</v>
      </c>
      <c r="F34" s="297" t="s">
        <v>223</v>
      </c>
      <c r="G34" s="297" t="e">
        <f t="shared" si="4"/>
        <v>#VALUE!</v>
      </c>
      <c r="H34" s="299" t="e">
        <f t="shared" si="5"/>
        <v>#VALUE!</v>
      </c>
    </row>
    <row r="35" spans="1:9" ht="18" customHeight="1">
      <c r="A35" s="8" t="s">
        <v>74</v>
      </c>
      <c r="B35" s="6">
        <v>3153</v>
      </c>
      <c r="C35" s="117" t="s">
        <v>223</v>
      </c>
      <c r="D35" s="297" t="s">
        <v>223</v>
      </c>
      <c r="E35" s="297" t="s">
        <v>223</v>
      </c>
      <c r="F35" s="297" t="s">
        <v>223</v>
      </c>
      <c r="G35" s="297" t="e">
        <f t="shared" si="4"/>
        <v>#VALUE!</v>
      </c>
      <c r="H35" s="299" t="e">
        <f t="shared" si="5"/>
        <v>#VALUE!</v>
      </c>
    </row>
    <row r="36" spans="1:9" ht="18" customHeight="1">
      <c r="A36" s="8" t="s">
        <v>256</v>
      </c>
      <c r="B36" s="6">
        <v>3154</v>
      </c>
      <c r="C36" s="117" t="s">
        <v>223</v>
      </c>
      <c r="D36" s="297" t="s">
        <v>223</v>
      </c>
      <c r="E36" s="297" t="s">
        <v>223</v>
      </c>
      <c r="F36" s="297" t="s">
        <v>223</v>
      </c>
      <c r="G36" s="297" t="e">
        <f t="shared" si="4"/>
        <v>#VALUE!</v>
      </c>
      <c r="H36" s="299" t="e">
        <f t="shared" si="5"/>
        <v>#VALUE!</v>
      </c>
    </row>
    <row r="37" spans="1:9" ht="18" customHeight="1">
      <c r="A37" s="8" t="s">
        <v>73</v>
      </c>
      <c r="B37" s="6">
        <v>3155</v>
      </c>
      <c r="C37" s="117" t="s">
        <v>223</v>
      </c>
      <c r="D37" s="297" t="s">
        <v>223</v>
      </c>
      <c r="E37" s="297" t="s">
        <v>223</v>
      </c>
      <c r="F37" s="297" t="s">
        <v>223</v>
      </c>
      <c r="G37" s="297" t="e">
        <f t="shared" si="4"/>
        <v>#VALUE!</v>
      </c>
      <c r="H37" s="299" t="e">
        <f t="shared" si="5"/>
        <v>#VALUE!</v>
      </c>
    </row>
    <row r="38" spans="1:9" ht="18" customHeight="1">
      <c r="A38" s="8" t="s">
        <v>391</v>
      </c>
      <c r="B38" s="6">
        <v>3156</v>
      </c>
      <c r="C38" s="155">
        <f>SUM(C39:C40)</f>
        <v>0</v>
      </c>
      <c r="D38" s="300">
        <f>SUM(D39:D40)</f>
        <v>0</v>
      </c>
      <c r="E38" s="300">
        <f>SUM(E39:E40)</f>
        <v>0</v>
      </c>
      <c r="F38" s="300">
        <f>SUM(F39:F40)</f>
        <v>0</v>
      </c>
      <c r="G38" s="297">
        <f t="shared" si="4"/>
        <v>0</v>
      </c>
      <c r="H38" s="299" t="e">
        <f t="shared" si="5"/>
        <v>#DIV/0!</v>
      </c>
    </row>
    <row r="39" spans="1:9" ht="38.25" customHeight="1">
      <c r="A39" s="8" t="s">
        <v>335</v>
      </c>
      <c r="B39" s="6" t="s">
        <v>428</v>
      </c>
      <c r="C39" s="117" t="s">
        <v>223</v>
      </c>
      <c r="D39" s="297" t="s">
        <v>223</v>
      </c>
      <c r="E39" s="297" t="s">
        <v>223</v>
      </c>
      <c r="F39" s="297" t="s">
        <v>223</v>
      </c>
      <c r="G39" s="297" t="e">
        <f t="shared" si="4"/>
        <v>#VALUE!</v>
      </c>
      <c r="H39" s="299" t="e">
        <f t="shared" si="5"/>
        <v>#VALUE!</v>
      </c>
    </row>
    <row r="40" spans="1:9" ht="55.5" customHeight="1">
      <c r="A40" s="8" t="s">
        <v>436</v>
      </c>
      <c r="B40" s="6" t="s">
        <v>429</v>
      </c>
      <c r="C40" s="117" t="s">
        <v>223</v>
      </c>
      <c r="D40" s="297" t="s">
        <v>223</v>
      </c>
      <c r="E40" s="297" t="s">
        <v>223</v>
      </c>
      <c r="F40" s="297" t="s">
        <v>223</v>
      </c>
      <c r="G40" s="297" t="e">
        <f t="shared" si="4"/>
        <v>#VALUE!</v>
      </c>
      <c r="H40" s="299" t="e">
        <f t="shared" si="5"/>
        <v>#VALUE!</v>
      </c>
    </row>
    <row r="41" spans="1:9" ht="18" customHeight="1">
      <c r="A41" s="8" t="s">
        <v>403</v>
      </c>
      <c r="B41" s="6">
        <v>3157</v>
      </c>
      <c r="C41" s="117" t="s">
        <v>223</v>
      </c>
      <c r="D41" s="297" t="s">
        <v>223</v>
      </c>
      <c r="E41" s="297" t="s">
        <v>223</v>
      </c>
      <c r="F41" s="297"/>
      <c r="G41" s="297" t="e">
        <f t="shared" si="4"/>
        <v>#VALUE!</v>
      </c>
      <c r="H41" s="299" t="e">
        <f t="shared" si="5"/>
        <v>#VALUE!</v>
      </c>
    </row>
    <row r="42" spans="1:9" ht="18" customHeight="1">
      <c r="A42" s="8" t="s">
        <v>257</v>
      </c>
      <c r="B42" s="9">
        <v>3160</v>
      </c>
      <c r="C42" s="117" t="s">
        <v>223</v>
      </c>
      <c r="D42" s="297" t="s">
        <v>223</v>
      </c>
      <c r="E42" s="297" t="s">
        <v>223</v>
      </c>
      <c r="F42" s="297" t="s">
        <v>223</v>
      </c>
      <c r="G42" s="297" t="e">
        <f t="shared" si="4"/>
        <v>#VALUE!</v>
      </c>
      <c r="H42" s="299" t="e">
        <f t="shared" si="5"/>
        <v>#VALUE!</v>
      </c>
    </row>
    <row r="43" spans="1:9" ht="18" customHeight="1">
      <c r="A43" s="8" t="s">
        <v>392</v>
      </c>
      <c r="B43" s="9">
        <v>3170</v>
      </c>
      <c r="C43" s="117">
        <f>SUM(C44:C49)</f>
        <v>0</v>
      </c>
      <c r="D43" s="297">
        <f>SUM(D44:D49)</f>
        <v>0</v>
      </c>
      <c r="E43" s="297">
        <f>SUM(E44:E49)</f>
        <v>-9711.9</v>
      </c>
      <c r="F43" s="297"/>
      <c r="G43" s="297">
        <f ca="1">SUM(G43:G49)</f>
        <v>-2224.6310000000008</v>
      </c>
      <c r="H43" s="299">
        <f>(F43/E43)*100</f>
        <v>0</v>
      </c>
    </row>
    <row r="44" spans="1:9" ht="18" customHeight="1">
      <c r="A44" s="213" t="s">
        <v>464</v>
      </c>
      <c r="B44" s="6" t="s">
        <v>477</v>
      </c>
      <c r="C44" s="117"/>
      <c r="D44" s="297"/>
      <c r="E44" s="297">
        <v>-111.6</v>
      </c>
      <c r="F44" s="297"/>
      <c r="G44" s="297">
        <f>F44-E44</f>
        <v>111.6</v>
      </c>
      <c r="H44" s="299">
        <f t="shared" si="5"/>
        <v>0</v>
      </c>
    </row>
    <row r="45" spans="1:9" ht="18" customHeight="1">
      <c r="A45" s="213" t="s">
        <v>466</v>
      </c>
      <c r="B45" s="6" t="s">
        <v>478</v>
      </c>
      <c r="C45" s="117"/>
      <c r="D45" s="117"/>
      <c r="E45" s="297">
        <v>-75</v>
      </c>
      <c r="F45" s="117"/>
      <c r="G45" s="297">
        <f>F45-E45</f>
        <v>75</v>
      </c>
      <c r="H45" s="299">
        <f>(F45/E45)*100</f>
        <v>0</v>
      </c>
      <c r="I45" s="270"/>
    </row>
    <row r="46" spans="1:9" ht="47.25">
      <c r="A46" s="214" t="s">
        <v>469</v>
      </c>
      <c r="B46" s="6" t="s">
        <v>524</v>
      </c>
      <c r="C46" s="117"/>
      <c r="D46" s="117"/>
      <c r="E46" s="297">
        <v>-9525.2999999999993</v>
      </c>
      <c r="F46" s="117"/>
      <c r="G46" s="297"/>
      <c r="H46" s="299"/>
      <c r="I46" s="270"/>
    </row>
    <row r="47" spans="1:9" ht="18" customHeight="1">
      <c r="A47" s="208" t="s">
        <v>514</v>
      </c>
      <c r="B47" s="6" t="s">
        <v>479</v>
      </c>
      <c r="C47" s="117"/>
      <c r="D47" s="297"/>
      <c r="E47" s="297"/>
      <c r="F47" s="297"/>
      <c r="G47" s="297">
        <f t="shared" si="4"/>
        <v>0</v>
      </c>
      <c r="H47" s="299" t="e">
        <f t="shared" si="5"/>
        <v>#DIV/0!</v>
      </c>
    </row>
    <row r="48" spans="1:9" ht="18" customHeight="1">
      <c r="A48" s="208" t="s">
        <v>491</v>
      </c>
      <c r="B48" s="6" t="s">
        <v>480</v>
      </c>
      <c r="C48" s="117"/>
      <c r="D48" s="297"/>
      <c r="E48" s="297"/>
      <c r="F48" s="297"/>
      <c r="G48" s="297">
        <f t="shared" si="4"/>
        <v>0</v>
      </c>
      <c r="H48" s="299" t="e">
        <f t="shared" si="5"/>
        <v>#DIV/0!</v>
      </c>
    </row>
    <row r="49" spans="1:8" ht="18" customHeight="1">
      <c r="A49" s="208" t="s">
        <v>522</v>
      </c>
      <c r="B49" s="6" t="s">
        <v>481</v>
      </c>
      <c r="C49" s="117"/>
      <c r="D49" s="297"/>
      <c r="E49" s="297"/>
      <c r="F49" s="297"/>
      <c r="G49" s="297">
        <f t="shared" si="4"/>
        <v>0</v>
      </c>
      <c r="H49" s="299" t="e">
        <f t="shared" si="5"/>
        <v>#DIV/0!</v>
      </c>
    </row>
    <row r="50" spans="1:8" ht="20.100000000000001" customHeight="1">
      <c r="A50" s="10" t="s">
        <v>267</v>
      </c>
      <c r="B50" s="11">
        <v>3195</v>
      </c>
      <c r="C50" s="124">
        <f>SUM(C7,C24)</f>
        <v>0</v>
      </c>
      <c r="D50" s="218">
        <f>SUM(D7,D24)</f>
        <v>0</v>
      </c>
      <c r="E50" s="218">
        <f>SUM(E7,E24)</f>
        <v>-9525.3499999999985</v>
      </c>
      <c r="F50" s="218">
        <f>SUM(F7,F24)</f>
        <v>0</v>
      </c>
      <c r="G50" s="295">
        <f>F50-E50</f>
        <v>9525.3499999999985</v>
      </c>
      <c r="H50" s="296">
        <f>(F50/E50)*100</f>
        <v>0</v>
      </c>
    </row>
    <row r="51" spans="1:8" ht="20.100000000000001" customHeight="1">
      <c r="A51" s="167" t="s">
        <v>271</v>
      </c>
      <c r="B51" s="142"/>
      <c r="C51" s="142"/>
      <c r="D51" s="401"/>
      <c r="E51" s="402"/>
      <c r="F51" s="402"/>
      <c r="G51" s="402"/>
      <c r="H51" s="403"/>
    </row>
    <row r="52" spans="1:8" ht="20.100000000000001" customHeight="1">
      <c r="A52" s="152" t="s">
        <v>393</v>
      </c>
      <c r="B52" s="141">
        <v>3200</v>
      </c>
      <c r="C52" s="124">
        <f>SUM(C53,C55:C59)</f>
        <v>0</v>
      </c>
      <c r="D52" s="218">
        <f>SUM(D53,D55:D59)</f>
        <v>0</v>
      </c>
      <c r="E52" s="218">
        <f>SUM(E53,E55:E59)</f>
        <v>0</v>
      </c>
      <c r="F52" s="218">
        <f>SUM(F53,F55:F59)</f>
        <v>0</v>
      </c>
      <c r="G52" s="295">
        <f>F52-E52</f>
        <v>0</v>
      </c>
      <c r="H52" s="296" t="e">
        <f>(F52/E52)*100</f>
        <v>#DIV/0!</v>
      </c>
    </row>
    <row r="53" spans="1:8" ht="18" customHeight="1">
      <c r="A53" s="8" t="s">
        <v>394</v>
      </c>
      <c r="B53" s="6">
        <v>3210</v>
      </c>
      <c r="C53" s="117"/>
      <c r="D53" s="297"/>
      <c r="E53" s="297"/>
      <c r="F53" s="297"/>
      <c r="G53" s="297">
        <f>F53-E53</f>
        <v>0</v>
      </c>
      <c r="H53" s="299" t="e">
        <f>(F53/E53)*100</f>
        <v>#DIV/0!</v>
      </c>
    </row>
    <row r="54" spans="1:8" ht="18" customHeight="1">
      <c r="A54" s="8" t="s">
        <v>395</v>
      </c>
      <c r="B54" s="9">
        <v>3215</v>
      </c>
      <c r="C54" s="117"/>
      <c r="D54" s="297"/>
      <c r="E54" s="297"/>
      <c r="F54" s="297"/>
      <c r="G54" s="297">
        <f t="shared" ref="G54:G59" si="6">F54-E54</f>
        <v>0</v>
      </c>
      <c r="H54" s="299" t="e">
        <f t="shared" ref="H54:H59" si="7">(F54/E54)*100</f>
        <v>#DIV/0!</v>
      </c>
    </row>
    <row r="55" spans="1:8" ht="18" customHeight="1">
      <c r="A55" s="8" t="s">
        <v>396</v>
      </c>
      <c r="B55" s="9">
        <v>3220</v>
      </c>
      <c r="C55" s="117"/>
      <c r="D55" s="297"/>
      <c r="E55" s="297"/>
      <c r="F55" s="297"/>
      <c r="G55" s="297">
        <f t="shared" si="6"/>
        <v>0</v>
      </c>
      <c r="H55" s="299" t="e">
        <f t="shared" si="7"/>
        <v>#DIV/0!</v>
      </c>
    </row>
    <row r="56" spans="1:8" ht="18" customHeight="1">
      <c r="A56" s="8" t="s">
        <v>397</v>
      </c>
      <c r="B56" s="9">
        <v>3225</v>
      </c>
      <c r="C56" s="117"/>
      <c r="D56" s="297"/>
      <c r="E56" s="297"/>
      <c r="F56" s="297"/>
      <c r="G56" s="297">
        <f t="shared" si="6"/>
        <v>0</v>
      </c>
      <c r="H56" s="299" t="e">
        <f t="shared" si="7"/>
        <v>#DIV/0!</v>
      </c>
    </row>
    <row r="57" spans="1:8" ht="18" customHeight="1">
      <c r="A57" s="8" t="s">
        <v>398</v>
      </c>
      <c r="B57" s="336">
        <v>3230</v>
      </c>
      <c r="C57" s="337"/>
      <c r="D57" s="338"/>
      <c r="E57" s="338"/>
      <c r="F57" s="338"/>
      <c r="G57" s="338">
        <f t="shared" si="6"/>
        <v>0</v>
      </c>
      <c r="H57" s="299" t="e">
        <f t="shared" si="7"/>
        <v>#DIV/0!</v>
      </c>
    </row>
    <row r="58" spans="1:8" ht="18" customHeight="1">
      <c r="A58" s="8" t="s">
        <v>430</v>
      </c>
      <c r="B58" s="9">
        <v>3235</v>
      </c>
      <c r="C58" s="117"/>
      <c r="D58" s="297"/>
      <c r="E58" s="297"/>
      <c r="F58" s="297"/>
      <c r="G58" s="297">
        <f t="shared" si="6"/>
        <v>0</v>
      </c>
      <c r="H58" s="299" t="e">
        <f t="shared" si="7"/>
        <v>#DIV/0!</v>
      </c>
    </row>
    <row r="59" spans="1:8" ht="18" customHeight="1">
      <c r="A59" s="8" t="s">
        <v>370</v>
      </c>
      <c r="B59" s="9">
        <v>3240</v>
      </c>
      <c r="C59" s="117"/>
      <c r="D59" s="297"/>
      <c r="E59" s="297"/>
      <c r="F59" s="297"/>
      <c r="G59" s="297">
        <f t="shared" si="6"/>
        <v>0</v>
      </c>
      <c r="H59" s="299" t="e">
        <f t="shared" si="7"/>
        <v>#DIV/0!</v>
      </c>
    </row>
    <row r="60" spans="1:8" ht="20.100000000000001" customHeight="1">
      <c r="A60" s="10" t="s">
        <v>399</v>
      </c>
      <c r="B60" s="11">
        <v>3255</v>
      </c>
      <c r="C60" s="124">
        <f>SUM(C61,C63,C67,C68)</f>
        <v>0</v>
      </c>
      <c r="D60" s="218">
        <f>SUM(D61,D63,D67,D68)</f>
        <v>0</v>
      </c>
      <c r="E60" s="218">
        <f>SUM(E61,E63,E67,E68)</f>
        <v>0</v>
      </c>
      <c r="F60" s="218">
        <f>SUM(F61,F63,F67,F68)</f>
        <v>0</v>
      </c>
      <c r="G60" s="295">
        <f>F60-E60</f>
        <v>0</v>
      </c>
      <c r="H60" s="296" t="e">
        <f>(F60/E60)*100</f>
        <v>#DIV/0!</v>
      </c>
    </row>
    <row r="61" spans="1:8" ht="18" customHeight="1">
      <c r="A61" s="8" t="s">
        <v>400</v>
      </c>
      <c r="B61" s="9">
        <v>3260</v>
      </c>
      <c r="C61" s="117" t="s">
        <v>223</v>
      </c>
      <c r="D61" s="297" t="s">
        <v>223</v>
      </c>
      <c r="E61" s="297" t="s">
        <v>223</v>
      </c>
      <c r="F61" s="297" t="s">
        <v>223</v>
      </c>
      <c r="G61" s="297" t="e">
        <f>F61-E61</f>
        <v>#VALUE!</v>
      </c>
      <c r="H61" s="299" t="e">
        <f>(F61/E61)*100</f>
        <v>#VALUE!</v>
      </c>
    </row>
    <row r="62" spans="1:8" ht="18" customHeight="1">
      <c r="A62" s="8" t="s">
        <v>401</v>
      </c>
      <c r="B62" s="9">
        <v>3265</v>
      </c>
      <c r="C62" s="117" t="s">
        <v>223</v>
      </c>
      <c r="D62" s="297" t="s">
        <v>223</v>
      </c>
      <c r="E62" s="297" t="s">
        <v>223</v>
      </c>
      <c r="F62" s="297" t="s">
        <v>223</v>
      </c>
      <c r="G62" s="297" t="e">
        <f t="shared" ref="G62:G68" si="8">F62-E62</f>
        <v>#VALUE!</v>
      </c>
      <c r="H62" s="299" t="e">
        <f t="shared" ref="H62:H68" si="9">(F62/E62)*100</f>
        <v>#VALUE!</v>
      </c>
    </row>
    <row r="63" spans="1:8" ht="18" customHeight="1">
      <c r="A63" s="8" t="s">
        <v>406</v>
      </c>
      <c r="B63" s="9">
        <v>3270</v>
      </c>
      <c r="C63" s="117" t="s">
        <v>223</v>
      </c>
      <c r="D63" s="297" t="s">
        <v>223</v>
      </c>
      <c r="E63" s="297" t="s">
        <v>223</v>
      </c>
      <c r="F63" s="297" t="s">
        <v>223</v>
      </c>
      <c r="G63" s="297" t="e">
        <f t="shared" si="8"/>
        <v>#VALUE!</v>
      </c>
      <c r="H63" s="299" t="e">
        <f t="shared" si="9"/>
        <v>#VALUE!</v>
      </c>
    </row>
    <row r="64" spans="1:8" ht="18" customHeight="1">
      <c r="A64" s="8" t="s">
        <v>407</v>
      </c>
      <c r="B64" s="9" t="s">
        <v>408</v>
      </c>
      <c r="C64" s="117" t="s">
        <v>223</v>
      </c>
      <c r="D64" s="297" t="s">
        <v>223</v>
      </c>
      <c r="E64" s="297" t="s">
        <v>223</v>
      </c>
      <c r="F64" s="297" t="s">
        <v>223</v>
      </c>
      <c r="G64" s="297" t="e">
        <f t="shared" si="8"/>
        <v>#VALUE!</v>
      </c>
      <c r="H64" s="299" t="e">
        <f t="shared" si="9"/>
        <v>#VALUE!</v>
      </c>
    </row>
    <row r="65" spans="1:11" ht="18" customHeight="1">
      <c r="A65" s="8" t="s">
        <v>409</v>
      </c>
      <c r="B65" s="9" t="s">
        <v>410</v>
      </c>
      <c r="C65" s="117" t="s">
        <v>223</v>
      </c>
      <c r="D65" s="297" t="s">
        <v>223</v>
      </c>
      <c r="E65" s="297" t="s">
        <v>223</v>
      </c>
      <c r="F65" s="297" t="s">
        <v>223</v>
      </c>
      <c r="G65" s="297" t="e">
        <f t="shared" si="8"/>
        <v>#VALUE!</v>
      </c>
      <c r="H65" s="299" t="e">
        <f t="shared" si="9"/>
        <v>#VALUE!</v>
      </c>
    </row>
    <row r="66" spans="1:11" ht="18" customHeight="1">
      <c r="A66" s="8" t="s">
        <v>411</v>
      </c>
      <c r="B66" s="9" t="s">
        <v>412</v>
      </c>
      <c r="C66" s="117" t="s">
        <v>223</v>
      </c>
      <c r="D66" s="297" t="s">
        <v>223</v>
      </c>
      <c r="E66" s="297" t="s">
        <v>223</v>
      </c>
      <c r="F66" s="297" t="s">
        <v>223</v>
      </c>
      <c r="G66" s="297" t="e">
        <f t="shared" si="8"/>
        <v>#VALUE!</v>
      </c>
      <c r="H66" s="299" t="e">
        <f t="shared" si="9"/>
        <v>#VALUE!</v>
      </c>
    </row>
    <row r="67" spans="1:11" ht="18" customHeight="1">
      <c r="A67" s="8" t="s">
        <v>402</v>
      </c>
      <c r="B67" s="9">
        <v>3280</v>
      </c>
      <c r="C67" s="117" t="s">
        <v>223</v>
      </c>
      <c r="D67" s="297" t="s">
        <v>223</v>
      </c>
      <c r="E67" s="297" t="s">
        <v>223</v>
      </c>
      <c r="F67" s="297" t="s">
        <v>223</v>
      </c>
      <c r="G67" s="297" t="e">
        <f t="shared" si="8"/>
        <v>#VALUE!</v>
      </c>
      <c r="H67" s="299" t="e">
        <f t="shared" si="9"/>
        <v>#VALUE!</v>
      </c>
    </row>
    <row r="68" spans="1:11" ht="18" customHeight="1">
      <c r="A68" s="8" t="s">
        <v>403</v>
      </c>
      <c r="B68" s="9">
        <v>3290</v>
      </c>
      <c r="C68" s="117" t="s">
        <v>223</v>
      </c>
      <c r="D68" s="297" t="s">
        <v>223</v>
      </c>
      <c r="E68" s="297" t="s">
        <v>223</v>
      </c>
      <c r="F68" s="297" t="s">
        <v>223</v>
      </c>
      <c r="G68" s="297" t="e">
        <f t="shared" si="8"/>
        <v>#VALUE!</v>
      </c>
      <c r="H68" s="299" t="e">
        <f t="shared" si="9"/>
        <v>#VALUE!</v>
      </c>
    </row>
    <row r="69" spans="1:11" ht="20.100000000000001" customHeight="1">
      <c r="A69" s="153" t="s">
        <v>121</v>
      </c>
      <c r="B69" s="144">
        <v>3295</v>
      </c>
      <c r="C69" s="193">
        <f>SUM(C52,C60)</f>
        <v>0</v>
      </c>
      <c r="D69" s="301">
        <f>SUM(D52,D60)</f>
        <v>0</v>
      </c>
      <c r="E69" s="301">
        <f>SUM(E52,E60)</f>
        <v>0</v>
      </c>
      <c r="F69" s="301">
        <f>SUM(F52,F60)</f>
        <v>0</v>
      </c>
      <c r="G69" s="302">
        <f>F69-E69</f>
        <v>0</v>
      </c>
      <c r="H69" s="303" t="e">
        <f>(F69/E69)*100</f>
        <v>#DIV/0!</v>
      </c>
    </row>
    <row r="70" spans="1:11" ht="20.100000000000001" customHeight="1">
      <c r="A70" s="167" t="s">
        <v>272</v>
      </c>
      <c r="B70" s="142"/>
      <c r="C70" s="142"/>
      <c r="D70" s="304"/>
      <c r="E70" s="304"/>
      <c r="F70" s="304"/>
      <c r="G70" s="305"/>
      <c r="H70" s="306"/>
    </row>
    <row r="71" spans="1:11" ht="20.100000000000001" customHeight="1">
      <c r="A71" s="152" t="s">
        <v>251</v>
      </c>
      <c r="B71" s="141">
        <v>3300</v>
      </c>
      <c r="C71" s="131">
        <f>SUM(C72,C73,C77)</f>
        <v>0</v>
      </c>
      <c r="D71" s="307">
        <f>SUM(D72,D73,D77)</f>
        <v>0</v>
      </c>
      <c r="E71" s="307">
        <f>SUM(E72,E73,E77)</f>
        <v>7937.9</v>
      </c>
      <c r="F71" s="307">
        <f>SUM(F72,F73,F77)</f>
        <v>0</v>
      </c>
      <c r="G71" s="308">
        <f t="shared" ref="G71:G80" si="10">F71-E71</f>
        <v>-7937.9</v>
      </c>
      <c r="H71" s="309">
        <f t="shared" ref="H71:H80" si="11">(F71/E71)*100</f>
        <v>0</v>
      </c>
    </row>
    <row r="72" spans="1:11" ht="18" customHeight="1">
      <c r="A72" s="8" t="s">
        <v>265</v>
      </c>
      <c r="B72" s="9">
        <v>3305</v>
      </c>
      <c r="C72" s="117"/>
      <c r="D72" s="297"/>
      <c r="E72" s="297"/>
      <c r="F72" s="297"/>
      <c r="G72" s="297">
        <f t="shared" si="10"/>
        <v>0</v>
      </c>
      <c r="H72" s="299" t="e">
        <f t="shared" si="11"/>
        <v>#DIV/0!</v>
      </c>
    </row>
    <row r="73" spans="1:11" ht="18" customHeight="1">
      <c r="A73" s="8" t="s">
        <v>258</v>
      </c>
      <c r="B73" s="9">
        <v>3310</v>
      </c>
      <c r="C73" s="155">
        <f>SUM(C74:C76)</f>
        <v>0</v>
      </c>
      <c r="D73" s="300">
        <f>SUM(D74:D76)</f>
        <v>0</v>
      </c>
      <c r="E73" s="300">
        <f>SUM(E74:E76)</f>
        <v>0</v>
      </c>
      <c r="F73" s="300">
        <f>SUM(F74:F76)</f>
        <v>0</v>
      </c>
      <c r="G73" s="297">
        <f t="shared" si="10"/>
        <v>0</v>
      </c>
      <c r="H73" s="299" t="e">
        <f t="shared" si="11"/>
        <v>#DIV/0!</v>
      </c>
    </row>
    <row r="74" spans="1:11" ht="18" customHeight="1">
      <c r="A74" s="8" t="s">
        <v>79</v>
      </c>
      <c r="B74" s="6">
        <v>3311</v>
      </c>
      <c r="C74" s="117"/>
      <c r="D74" s="314"/>
      <c r="E74" s="314"/>
      <c r="F74" s="314"/>
      <c r="G74" s="314">
        <f t="shared" si="10"/>
        <v>0</v>
      </c>
      <c r="H74" s="328" t="e">
        <f t="shared" si="11"/>
        <v>#DIV/0!</v>
      </c>
      <c r="I74" s="270"/>
      <c r="J74" s="270"/>
      <c r="K74" s="270"/>
    </row>
    <row r="75" spans="1:11" ht="18" customHeight="1">
      <c r="A75" s="8" t="s">
        <v>81</v>
      </c>
      <c r="B75" s="6">
        <v>3312</v>
      </c>
      <c r="C75" s="117"/>
      <c r="D75" s="314"/>
      <c r="E75" s="314"/>
      <c r="F75" s="314"/>
      <c r="G75" s="314">
        <f t="shared" si="10"/>
        <v>0</v>
      </c>
      <c r="H75" s="328" t="e">
        <f t="shared" si="11"/>
        <v>#DIV/0!</v>
      </c>
      <c r="I75" s="270"/>
      <c r="J75" s="270"/>
      <c r="K75" s="270"/>
    </row>
    <row r="76" spans="1:11" ht="18" customHeight="1">
      <c r="A76" s="8" t="s">
        <v>101</v>
      </c>
      <c r="B76" s="6">
        <v>3313</v>
      </c>
      <c r="C76" s="117"/>
      <c r="D76" s="297"/>
      <c r="E76" s="297"/>
      <c r="F76" s="297"/>
      <c r="G76" s="297">
        <f t="shared" si="10"/>
        <v>0</v>
      </c>
      <c r="H76" s="299" t="e">
        <f t="shared" si="11"/>
        <v>#DIV/0!</v>
      </c>
    </row>
    <row r="77" spans="1:11" ht="18" customHeight="1">
      <c r="A77" s="8" t="s">
        <v>370</v>
      </c>
      <c r="B77" s="9">
        <v>3320</v>
      </c>
      <c r="C77" s="117"/>
      <c r="D77" s="297"/>
      <c r="E77" s="297">
        <f>E78</f>
        <v>7937.9</v>
      </c>
      <c r="F77" s="297"/>
      <c r="G77" s="297">
        <f t="shared" si="10"/>
        <v>-7937.9</v>
      </c>
      <c r="H77" s="299">
        <f t="shared" si="11"/>
        <v>0</v>
      </c>
    </row>
    <row r="78" spans="1:11" ht="18" customHeight="1">
      <c r="A78" s="8" t="s">
        <v>482</v>
      </c>
      <c r="B78" s="6" t="s">
        <v>483</v>
      </c>
      <c r="C78" s="117"/>
      <c r="D78" s="297"/>
      <c r="E78" s="297">
        <v>7937.9</v>
      </c>
      <c r="F78" s="297"/>
      <c r="G78" s="297">
        <f t="shared" si="10"/>
        <v>-7937.9</v>
      </c>
      <c r="H78" s="299">
        <f t="shared" si="11"/>
        <v>0</v>
      </c>
    </row>
    <row r="79" spans="1:11" ht="20.100000000000001" customHeight="1">
      <c r="A79" s="10" t="s">
        <v>404</v>
      </c>
      <c r="B79" s="11">
        <v>3330</v>
      </c>
      <c r="C79" s="124">
        <f>SUM(C80,C81,C85:C88)</f>
        <v>0</v>
      </c>
      <c r="D79" s="218">
        <f>SUM(D80,D81,D85:D88)</f>
        <v>0</v>
      </c>
      <c r="E79" s="218">
        <f>SUM(E80,E81,E85:E88)</f>
        <v>-7937.9</v>
      </c>
      <c r="F79" s="218">
        <f ca="1">SUM(F80,F81,F85:F88)</f>
        <v>0</v>
      </c>
      <c r="G79" s="295">
        <f ca="1">F79-E79</f>
        <v>7937.9</v>
      </c>
      <c r="H79" s="296">
        <f t="shared" ca="1" si="11"/>
        <v>0</v>
      </c>
    </row>
    <row r="80" spans="1:11" ht="18" customHeight="1">
      <c r="A80" s="8" t="s">
        <v>266</v>
      </c>
      <c r="B80" s="9">
        <v>3335</v>
      </c>
      <c r="C80" s="117" t="s">
        <v>223</v>
      </c>
      <c r="D80" s="297" t="s">
        <v>223</v>
      </c>
      <c r="E80" s="297" t="s">
        <v>223</v>
      </c>
      <c r="F80" s="297" t="s">
        <v>223</v>
      </c>
      <c r="G80" s="297" t="e">
        <f t="shared" si="10"/>
        <v>#VALUE!</v>
      </c>
      <c r="H80" s="299" t="e">
        <f t="shared" si="11"/>
        <v>#VALUE!</v>
      </c>
    </row>
    <row r="81" spans="1:8" ht="18" customHeight="1">
      <c r="A81" s="8" t="s">
        <v>259</v>
      </c>
      <c r="B81" s="6">
        <v>3340</v>
      </c>
      <c r="C81" s="155">
        <f>SUM(C82:C84)</f>
        <v>0</v>
      </c>
      <c r="D81" s="300">
        <f>SUM(D82:D84)</f>
        <v>0</v>
      </c>
      <c r="E81" s="300">
        <f>SUM(E82:E84)</f>
        <v>0</v>
      </c>
      <c r="F81" s="300">
        <f>SUM(F82:F84)</f>
        <v>0</v>
      </c>
      <c r="G81" s="297">
        <f>F81-E81</f>
        <v>0</v>
      </c>
      <c r="H81" s="299" t="e">
        <f t="shared" ref="H81:H88" si="12">(F81/E81)*100</f>
        <v>#DIV/0!</v>
      </c>
    </row>
    <row r="82" spans="1:8" ht="18" customHeight="1">
      <c r="A82" s="8" t="s">
        <v>79</v>
      </c>
      <c r="B82" s="6">
        <v>3341</v>
      </c>
      <c r="C82" s="117" t="s">
        <v>223</v>
      </c>
      <c r="D82" s="297" t="s">
        <v>223</v>
      </c>
      <c r="E82" s="297" t="s">
        <v>223</v>
      </c>
      <c r="F82" s="297" t="s">
        <v>223</v>
      </c>
      <c r="G82" s="297" t="e">
        <f t="shared" ref="G82:G87" si="13">F82-E82</f>
        <v>#VALUE!</v>
      </c>
      <c r="H82" s="299" t="e">
        <f t="shared" si="12"/>
        <v>#VALUE!</v>
      </c>
    </row>
    <row r="83" spans="1:8" ht="18" customHeight="1">
      <c r="A83" s="8" t="s">
        <v>81</v>
      </c>
      <c r="B83" s="6">
        <v>3342</v>
      </c>
      <c r="C83" s="117" t="s">
        <v>223</v>
      </c>
      <c r="D83" s="297" t="s">
        <v>223</v>
      </c>
      <c r="E83" s="297" t="s">
        <v>223</v>
      </c>
      <c r="F83" s="297" t="s">
        <v>223</v>
      </c>
      <c r="G83" s="297" t="e">
        <f t="shared" si="13"/>
        <v>#VALUE!</v>
      </c>
      <c r="H83" s="299" t="e">
        <f t="shared" si="12"/>
        <v>#VALUE!</v>
      </c>
    </row>
    <row r="84" spans="1:8" ht="18" customHeight="1">
      <c r="A84" s="8" t="s">
        <v>101</v>
      </c>
      <c r="B84" s="6">
        <v>3343</v>
      </c>
      <c r="C84" s="117" t="s">
        <v>223</v>
      </c>
      <c r="D84" s="297" t="s">
        <v>223</v>
      </c>
      <c r="E84" s="297" t="s">
        <v>223</v>
      </c>
      <c r="F84" s="297" t="s">
        <v>223</v>
      </c>
      <c r="G84" s="297" t="e">
        <f t="shared" si="13"/>
        <v>#VALUE!</v>
      </c>
      <c r="H84" s="299" t="e">
        <f t="shared" si="12"/>
        <v>#VALUE!</v>
      </c>
    </row>
    <row r="85" spans="1:8" ht="18" customHeight="1">
      <c r="A85" s="8" t="s">
        <v>431</v>
      </c>
      <c r="B85" s="6">
        <v>3350</v>
      </c>
      <c r="C85" s="117" t="s">
        <v>223</v>
      </c>
      <c r="D85" s="297" t="s">
        <v>223</v>
      </c>
      <c r="E85" s="297" t="s">
        <v>223</v>
      </c>
      <c r="F85" s="297" t="s">
        <v>223</v>
      </c>
      <c r="G85" s="297" t="e">
        <f t="shared" si="13"/>
        <v>#VALUE!</v>
      </c>
      <c r="H85" s="299" t="e">
        <f t="shared" si="12"/>
        <v>#VALUE!</v>
      </c>
    </row>
    <row r="86" spans="1:8" ht="21.75" customHeight="1">
      <c r="A86" s="8" t="s">
        <v>432</v>
      </c>
      <c r="B86" s="6">
        <v>3360</v>
      </c>
      <c r="C86" s="117" t="s">
        <v>223</v>
      </c>
      <c r="D86" s="297" t="s">
        <v>223</v>
      </c>
      <c r="E86" s="297" t="s">
        <v>223</v>
      </c>
      <c r="F86" s="297" t="s">
        <v>223</v>
      </c>
      <c r="G86" s="297" t="e">
        <f t="shared" si="13"/>
        <v>#VALUE!</v>
      </c>
      <c r="H86" s="299" t="e">
        <f t="shared" si="12"/>
        <v>#VALUE!</v>
      </c>
    </row>
    <row r="87" spans="1:8" ht="23.25" customHeight="1">
      <c r="A87" s="8" t="s">
        <v>433</v>
      </c>
      <c r="B87" s="6">
        <v>3370</v>
      </c>
      <c r="C87" s="117" t="s">
        <v>223</v>
      </c>
      <c r="D87" s="297" t="s">
        <v>223</v>
      </c>
      <c r="E87" s="297" t="s">
        <v>223</v>
      </c>
      <c r="F87" s="297" t="s">
        <v>223</v>
      </c>
      <c r="G87" s="297" t="e">
        <f t="shared" si="13"/>
        <v>#VALUE!</v>
      </c>
      <c r="H87" s="299" t="e">
        <f t="shared" si="12"/>
        <v>#VALUE!</v>
      </c>
    </row>
    <row r="88" spans="1:8" ht="18" customHeight="1">
      <c r="A88" s="8" t="s">
        <v>403</v>
      </c>
      <c r="B88" s="9">
        <v>3380</v>
      </c>
      <c r="C88" s="117" t="s">
        <v>223</v>
      </c>
      <c r="D88" s="297" t="s">
        <v>223</v>
      </c>
      <c r="E88" s="297">
        <f>E89</f>
        <v>-7937.9</v>
      </c>
      <c r="F88" s="297">
        <f ca="1">F89</f>
        <v>0</v>
      </c>
      <c r="G88" s="297">
        <f ca="1">F88-E88</f>
        <v>7937.9</v>
      </c>
      <c r="H88" s="299">
        <f t="shared" ca="1" si="12"/>
        <v>0</v>
      </c>
    </row>
    <row r="89" spans="1:8" ht="18" customHeight="1">
      <c r="A89" s="8" t="s">
        <v>482</v>
      </c>
      <c r="B89" s="9" t="s">
        <v>484</v>
      </c>
      <c r="C89" s="117" t="s">
        <v>223</v>
      </c>
      <c r="D89" s="297" t="s">
        <v>223</v>
      </c>
      <c r="E89" s="297">
        <v>-7937.9</v>
      </c>
      <c r="F89" s="297">
        <f ca="1">F90</f>
        <v>0</v>
      </c>
      <c r="G89" s="297">
        <f ca="1">F89-E89</f>
        <v>7937.9</v>
      </c>
      <c r="H89" s="299">
        <f t="shared" ref="H89:H94" ca="1" si="14">(F89/E89)*100</f>
        <v>0</v>
      </c>
    </row>
    <row r="90" spans="1:8" ht="20.100000000000001" customHeight="1">
      <c r="A90" s="10" t="s">
        <v>122</v>
      </c>
      <c r="B90" s="11">
        <v>3395</v>
      </c>
      <c r="C90" s="124">
        <f>SUM(C71,C79)</f>
        <v>0</v>
      </c>
      <c r="D90" s="218">
        <f>SUM(D71,D79)</f>
        <v>0</v>
      </c>
      <c r="E90" s="218">
        <f>SUM(E71,E79)</f>
        <v>0</v>
      </c>
      <c r="F90" s="218">
        <f ca="1">SUM(F71,F79)</f>
        <v>0</v>
      </c>
      <c r="G90" s="295">
        <f t="shared" ref="G90:G93" ca="1" si="15">F90-E90</f>
        <v>0</v>
      </c>
      <c r="H90" s="296" t="e">
        <f t="shared" ca="1" si="14"/>
        <v>#DIV/0!</v>
      </c>
    </row>
    <row r="91" spans="1:8" ht="20.100000000000001" customHeight="1">
      <c r="A91" s="168" t="s">
        <v>413</v>
      </c>
      <c r="B91" s="11">
        <v>3400</v>
      </c>
      <c r="C91" s="124">
        <f>SUM(C50,C69,C90)</f>
        <v>0</v>
      </c>
      <c r="D91" s="218">
        <f>SUM(D50,D69,D90)</f>
        <v>0</v>
      </c>
      <c r="E91" s="218">
        <f>SUM(E50,E69,E90)</f>
        <v>-9525.3499999999985</v>
      </c>
      <c r="F91" s="218">
        <f ca="1">SUM(F50,F69,F90)</f>
        <v>0</v>
      </c>
      <c r="G91" s="295">
        <f ca="1">F91-E91</f>
        <v>9525.3499999999985</v>
      </c>
      <c r="H91" s="296">
        <f t="shared" ca="1" si="14"/>
        <v>0</v>
      </c>
    </row>
    <row r="92" spans="1:8" ht="20.100000000000001" customHeight="1">
      <c r="A92" s="8" t="s">
        <v>273</v>
      </c>
      <c r="B92" s="9">
        <v>3405</v>
      </c>
      <c r="C92" s="117"/>
      <c r="D92" s="297"/>
      <c r="E92" s="297"/>
      <c r="F92" s="297"/>
      <c r="G92" s="297">
        <f t="shared" si="15"/>
        <v>0</v>
      </c>
      <c r="H92" s="299" t="e">
        <f t="shared" si="14"/>
        <v>#DIV/0!</v>
      </c>
    </row>
    <row r="93" spans="1:8" ht="20.100000000000001" customHeight="1">
      <c r="A93" s="91" t="s">
        <v>123</v>
      </c>
      <c r="B93" s="9">
        <v>3410</v>
      </c>
      <c r="C93" s="117"/>
      <c r="D93" s="297"/>
      <c r="E93" s="297"/>
      <c r="F93" s="297"/>
      <c r="G93" s="297">
        <f t="shared" si="15"/>
        <v>0</v>
      </c>
      <c r="H93" s="299" t="e">
        <f t="shared" si="14"/>
        <v>#DIV/0!</v>
      </c>
    </row>
    <row r="94" spans="1:8" ht="20.100000000000001" customHeight="1">
      <c r="A94" s="8" t="s">
        <v>274</v>
      </c>
      <c r="B94" s="9">
        <v>3415</v>
      </c>
      <c r="C94" s="127">
        <f>SUM(C92,C91,C93)</f>
        <v>0</v>
      </c>
      <c r="D94" s="310">
        <f>SUM(D92,D91,D93)</f>
        <v>0</v>
      </c>
      <c r="E94" s="310">
        <f>SUM(E92,E91,E93)</f>
        <v>-9525.3499999999985</v>
      </c>
      <c r="F94" s="310">
        <f ca="1">SUM(F92,F91,F93)</f>
        <v>0</v>
      </c>
      <c r="G94" s="297">
        <f ca="1">F94-E94</f>
        <v>9525.3499999999985</v>
      </c>
      <c r="H94" s="299">
        <f t="shared" ca="1" si="14"/>
        <v>0</v>
      </c>
    </row>
    <row r="95" spans="1:8" ht="20.100000000000001" customHeight="1">
      <c r="A95" s="28"/>
      <c r="B95" s="1"/>
      <c r="C95" s="160"/>
      <c r="D95" s="160"/>
      <c r="E95" s="160"/>
      <c r="F95" s="160"/>
      <c r="G95" s="160"/>
      <c r="H95" s="187"/>
    </row>
    <row r="96" spans="1:8" s="16" customFormat="1">
      <c r="A96" s="2"/>
      <c r="B96" s="33"/>
      <c r="C96" s="33"/>
      <c r="D96" s="288"/>
      <c r="E96" s="288"/>
      <c r="F96" s="288"/>
      <c r="G96" s="288"/>
      <c r="H96" s="288"/>
    </row>
    <row r="97" spans="1:8" s="3" customFormat="1" ht="27.75" customHeight="1">
      <c r="A97" s="343" t="s">
        <v>529</v>
      </c>
      <c r="B97" s="1"/>
      <c r="C97" s="369" t="s">
        <v>159</v>
      </c>
      <c r="D97" s="406"/>
      <c r="E97" s="284"/>
      <c r="F97" s="407" t="str">
        <f>'ІІ. Розр. з бюджетом'!F47:H47</f>
        <v xml:space="preserve">                           Тетяна ЛАТИШЕНКО                       </v>
      </c>
      <c r="G97" s="407"/>
      <c r="H97" s="407"/>
    </row>
    <row r="98" spans="1:8">
      <c r="A98" s="25" t="s">
        <v>68</v>
      </c>
      <c r="B98" s="3"/>
      <c r="C98" s="371" t="s">
        <v>69</v>
      </c>
      <c r="D98" s="404"/>
      <c r="E98" s="285"/>
      <c r="F98" s="388" t="s">
        <v>210</v>
      </c>
      <c r="G98" s="388"/>
      <c r="H98" s="388"/>
    </row>
    <row r="99" spans="1:8">
      <c r="D99" s="277"/>
      <c r="E99" s="277"/>
      <c r="F99" s="277"/>
      <c r="G99" s="277"/>
      <c r="H99" s="277"/>
    </row>
    <row r="100" spans="1:8">
      <c r="D100" s="277"/>
      <c r="E100" s="277"/>
      <c r="F100" s="277"/>
      <c r="G100" s="277"/>
      <c r="H100" s="277"/>
    </row>
    <row r="101" spans="1:8">
      <c r="D101" s="277"/>
      <c r="E101" s="277"/>
      <c r="F101" s="277"/>
      <c r="G101" s="277"/>
      <c r="H101" s="277"/>
    </row>
    <row r="102" spans="1:8">
      <c r="D102" s="277"/>
      <c r="E102" s="277"/>
      <c r="F102" s="277"/>
      <c r="G102" s="277"/>
      <c r="H102" s="277"/>
    </row>
    <row r="103" spans="1:8">
      <c r="D103" s="277"/>
      <c r="E103" s="277"/>
      <c r="F103" s="277"/>
      <c r="G103" s="277"/>
      <c r="H103" s="277"/>
    </row>
    <row r="104" spans="1:8">
      <c r="D104" s="277"/>
      <c r="E104" s="277"/>
      <c r="F104" s="277"/>
      <c r="G104" s="277"/>
      <c r="H104" s="277"/>
    </row>
    <row r="105" spans="1:8">
      <c r="D105" s="277"/>
      <c r="E105" s="277"/>
      <c r="F105" s="277"/>
      <c r="G105" s="277"/>
      <c r="H105" s="277"/>
    </row>
    <row r="106" spans="1:8">
      <c r="D106" s="277"/>
      <c r="E106" s="277"/>
      <c r="F106" s="277"/>
      <c r="G106" s="277"/>
      <c r="H106" s="277"/>
    </row>
    <row r="107" spans="1:8">
      <c r="D107" s="277"/>
      <c r="E107" s="277"/>
      <c r="F107" s="277"/>
      <c r="G107" s="277"/>
      <c r="H107" s="277"/>
    </row>
    <row r="108" spans="1:8">
      <c r="D108" s="277"/>
      <c r="E108" s="277"/>
      <c r="F108" s="277"/>
      <c r="G108" s="277"/>
      <c r="H108" s="277"/>
    </row>
    <row r="111" spans="1:8">
      <c r="E111" s="277"/>
      <c r="F111" s="277"/>
      <c r="G111" s="277"/>
      <c r="H111" s="277"/>
    </row>
    <row r="112" spans="1:8">
      <c r="E112" s="277"/>
      <c r="F112" s="277"/>
      <c r="G112" s="277"/>
      <c r="H112" s="277"/>
    </row>
    <row r="118" spans="1:8">
      <c r="A118" s="316"/>
      <c r="E118" s="277"/>
      <c r="F118" s="277"/>
      <c r="G118" s="277"/>
      <c r="H118" s="277"/>
    </row>
    <row r="119" spans="1:8">
      <c r="A119" s="4"/>
      <c r="E119" s="277"/>
      <c r="F119" s="277"/>
      <c r="G119" s="277"/>
      <c r="H119" s="277"/>
    </row>
    <row r="120" spans="1:8">
      <c r="E120" s="277"/>
      <c r="F120" s="277"/>
      <c r="G120" s="277"/>
      <c r="H120" s="277"/>
    </row>
    <row r="121" spans="1:8">
      <c r="E121" s="277"/>
      <c r="F121" s="277"/>
      <c r="G121" s="277"/>
      <c r="H121" s="277"/>
    </row>
    <row r="122" spans="1:8">
      <c r="E122" s="277"/>
      <c r="F122" s="277"/>
      <c r="G122" s="277"/>
      <c r="H122" s="277"/>
    </row>
    <row r="123" spans="1:8">
      <c r="E123" s="277"/>
      <c r="F123" s="277"/>
      <c r="G123" s="277"/>
      <c r="H123" s="277"/>
    </row>
    <row r="124" spans="1:8">
      <c r="E124" s="277"/>
      <c r="F124" s="277"/>
      <c r="G124" s="277"/>
      <c r="H124" s="277"/>
    </row>
    <row r="125" spans="1:8">
      <c r="E125" s="277"/>
      <c r="F125" s="277"/>
      <c r="G125" s="277"/>
      <c r="H125" s="277"/>
    </row>
    <row r="126" spans="1:8">
      <c r="E126" s="277"/>
      <c r="F126" s="277"/>
      <c r="G126" s="277"/>
      <c r="H126" s="277"/>
    </row>
    <row r="127" spans="1:8">
      <c r="E127" s="277"/>
      <c r="F127" s="277"/>
      <c r="G127" s="277"/>
      <c r="H127" s="277"/>
    </row>
    <row r="128" spans="1:8">
      <c r="E128" s="277"/>
      <c r="F128" s="277"/>
      <c r="G128" s="277"/>
      <c r="H128" s="277"/>
    </row>
    <row r="129" spans="5:8">
      <c r="E129" s="277"/>
      <c r="F129" s="277"/>
      <c r="G129" s="277"/>
      <c r="H129" s="277"/>
    </row>
    <row r="166" spans="7:8">
      <c r="G166" s="277"/>
      <c r="H166" s="277"/>
    </row>
    <row r="167" spans="7:8">
      <c r="G167" s="277"/>
      <c r="H167" s="277"/>
    </row>
    <row r="168" spans="7:8">
      <c r="G168" s="277"/>
      <c r="H168" s="277"/>
    </row>
    <row r="169" spans="7:8">
      <c r="G169" s="277"/>
      <c r="H169" s="277"/>
    </row>
    <row r="170" spans="7:8">
      <c r="G170" s="277"/>
      <c r="H170" s="277"/>
    </row>
    <row r="171" spans="7:8">
      <c r="G171" s="277"/>
      <c r="H171" s="277"/>
    </row>
    <row r="172" spans="7:8">
      <c r="G172" s="277"/>
      <c r="H172" s="277"/>
    </row>
    <row r="177" spans="1:1">
      <c r="A177" s="4"/>
    </row>
  </sheetData>
  <mergeCells count="11">
    <mergeCell ref="F97:H97"/>
    <mergeCell ref="D51:H51"/>
    <mergeCell ref="I10:K10"/>
    <mergeCell ref="C98:D98"/>
    <mergeCell ref="A1:H1"/>
    <mergeCell ref="A3:A4"/>
    <mergeCell ref="B3:B4"/>
    <mergeCell ref="C3:D3"/>
    <mergeCell ref="E3:H3"/>
    <mergeCell ref="F98:H98"/>
    <mergeCell ref="C97:D97"/>
  </mergeCells>
  <phoneticPr fontId="3" type="noConversion"/>
  <pageMargins left="1.1811023622047245" right="0.39370078740157483" top="0.39370078740157483" bottom="0.39370078740157483" header="0.19685039370078741" footer="0.23622047244094491"/>
  <pageSetup paperSize="9" scale="55" orientation="landscape" r:id="rId1"/>
  <headerFooter alignWithMargins="0">
    <oddHeader xml:space="preserve">&amp;C
&amp;"Times New Roman,обычный"&amp;14 9&amp;R&amp;"Times New Roman,обычный"&amp;14Продовження додатка 3
Таблиця 3
</oddHeader>
  </headerFooter>
  <rowBreaks count="2" manualBreakCount="2">
    <brk id="41" max="7" man="1"/>
    <brk id="84" max="7" man="1"/>
  </rowBreaks>
  <ignoredErrors>
    <ignoredError sqref="H8 G69:H69 H50 G90:H90 G60:H61 H24 G52:H53 G80:H80 G71:H72 G92:H92 H91 H79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99"/>
  </sheetPr>
  <dimension ref="A1:O182"/>
  <sheetViews>
    <sheetView zoomScale="75" zoomScaleNormal="75" zoomScaleSheetLayoutView="55" workbookViewId="0">
      <selection activeCell="A19" sqref="A19"/>
    </sheetView>
  </sheetViews>
  <sheetFormatPr defaultRowHeight="18.75"/>
  <cols>
    <col min="1" max="1" width="82.28515625" style="3" customWidth="1"/>
    <col min="2" max="2" width="9.85546875" style="25" customWidth="1"/>
    <col min="3" max="7" width="25.7109375" style="25" customWidth="1"/>
    <col min="8" max="8" width="21.140625" style="25" customWidth="1"/>
    <col min="9" max="9" width="9.5703125" style="3" customWidth="1"/>
    <col min="10" max="10" width="13" style="3" customWidth="1"/>
    <col min="11" max="16384" width="9.140625" style="3"/>
  </cols>
  <sheetData>
    <row r="1" spans="1:15">
      <c r="A1" s="363" t="s">
        <v>145</v>
      </c>
      <c r="B1" s="363"/>
      <c r="C1" s="363"/>
      <c r="D1" s="363"/>
      <c r="E1" s="363"/>
      <c r="F1" s="363"/>
      <c r="G1" s="363"/>
      <c r="H1" s="363"/>
    </row>
    <row r="2" spans="1:15">
      <c r="A2" s="411"/>
      <c r="B2" s="411"/>
      <c r="C2" s="411"/>
      <c r="D2" s="411"/>
      <c r="E2" s="411"/>
      <c r="F2" s="411"/>
      <c r="G2" s="411"/>
      <c r="H2" s="411"/>
    </row>
    <row r="3" spans="1:15" ht="43.5" customHeight="1">
      <c r="A3" s="409" t="s">
        <v>189</v>
      </c>
      <c r="B3" s="373" t="s">
        <v>18</v>
      </c>
      <c r="C3" s="373" t="s">
        <v>155</v>
      </c>
      <c r="D3" s="373"/>
      <c r="E3" s="372" t="s">
        <v>455</v>
      </c>
      <c r="F3" s="372"/>
      <c r="G3" s="372"/>
      <c r="H3" s="372"/>
    </row>
    <row r="4" spans="1:15" ht="56.25" customHeight="1">
      <c r="A4" s="410"/>
      <c r="B4" s="373"/>
      <c r="C4" s="7" t="s">
        <v>176</v>
      </c>
      <c r="D4" s="7" t="s">
        <v>177</v>
      </c>
      <c r="E4" s="7" t="s">
        <v>178</v>
      </c>
      <c r="F4" s="7" t="s">
        <v>166</v>
      </c>
      <c r="G4" s="74" t="s">
        <v>184</v>
      </c>
      <c r="H4" s="74" t="s">
        <v>185</v>
      </c>
    </row>
    <row r="5" spans="1:15" ht="15.75" customHeight="1">
      <c r="A5" s="6">
        <v>1</v>
      </c>
      <c r="B5" s="7">
        <v>2</v>
      </c>
      <c r="C5" s="6">
        <v>3</v>
      </c>
      <c r="D5" s="7">
        <v>4</v>
      </c>
      <c r="E5" s="6">
        <v>5</v>
      </c>
      <c r="F5" s="7">
        <v>6</v>
      </c>
      <c r="G5" s="6">
        <v>7</v>
      </c>
      <c r="H5" s="7">
        <v>8</v>
      </c>
    </row>
    <row r="6" spans="1:15" s="5" customFormat="1" ht="37.5">
      <c r="A6" s="10" t="s">
        <v>72</v>
      </c>
      <c r="B6" s="194">
        <v>4000</v>
      </c>
      <c r="C6" s="124">
        <f>SUM(C7:C12)</f>
        <v>0</v>
      </c>
      <c r="D6" s="211">
        <f>SUM(D7:D12)</f>
        <v>8574.7799999999988</v>
      </c>
      <c r="E6" s="211">
        <f>SUM(E7:E12)</f>
        <v>15303</v>
      </c>
      <c r="F6" s="211">
        <f>SUM(F7:F12)</f>
        <v>3191.2</v>
      </c>
      <c r="G6" s="220">
        <f>F6-E6</f>
        <v>-12111.8</v>
      </c>
      <c r="H6" s="248">
        <f>(F6/E6)*100</f>
        <v>20.853427432529568</v>
      </c>
    </row>
    <row r="7" spans="1:15" ht="20.100000000000001" customHeight="1">
      <c r="A7" s="8" t="s">
        <v>1</v>
      </c>
      <c r="B7" s="68" t="s">
        <v>150</v>
      </c>
      <c r="C7" s="117"/>
      <c r="D7" s="209">
        <f>5383.58+F7</f>
        <v>8574.7799999999988</v>
      </c>
      <c r="E7" s="209">
        <v>15303</v>
      </c>
      <c r="F7" s="209">
        <f>3191.2</f>
        <v>3191.2</v>
      </c>
      <c r="G7" s="209">
        <f>F7-E7</f>
        <v>-12111.8</v>
      </c>
      <c r="H7" s="219">
        <f>(F7/E7)*100</f>
        <v>20.853427432529568</v>
      </c>
    </row>
    <row r="8" spans="1:15" ht="20.100000000000001" customHeight="1">
      <c r="A8" s="8" t="s">
        <v>2</v>
      </c>
      <c r="B8" s="67">
        <v>4020</v>
      </c>
      <c r="C8" s="117"/>
      <c r="D8" s="117"/>
      <c r="E8" s="117"/>
      <c r="F8" s="117"/>
      <c r="G8" s="117">
        <f t="shared" ref="G8:G12" si="0">F8-E8</f>
        <v>0</v>
      </c>
      <c r="H8" s="154" t="e">
        <f t="shared" ref="H8:H12" si="1">(F8/E8)*100</f>
        <v>#DIV/0!</v>
      </c>
      <c r="O8" s="22"/>
    </row>
    <row r="9" spans="1:15" ht="19.5" customHeight="1">
      <c r="A9" s="8" t="s">
        <v>30</v>
      </c>
      <c r="B9" s="68">
        <v>4030</v>
      </c>
      <c r="C9" s="117"/>
      <c r="D9" s="117"/>
      <c r="E9" s="117"/>
      <c r="F9" s="117"/>
      <c r="G9" s="117">
        <f t="shared" si="0"/>
        <v>0</v>
      </c>
      <c r="H9" s="154" t="e">
        <f t="shared" si="1"/>
        <v>#DIV/0!</v>
      </c>
      <c r="N9" s="22"/>
    </row>
    <row r="10" spans="1:15" ht="20.100000000000001" customHeight="1">
      <c r="A10" s="8" t="s">
        <v>3</v>
      </c>
      <c r="B10" s="313">
        <v>4040</v>
      </c>
      <c r="C10" s="314"/>
      <c r="D10" s="314"/>
      <c r="E10" s="314"/>
      <c r="F10" s="117"/>
      <c r="G10" s="117">
        <f t="shared" si="0"/>
        <v>0</v>
      </c>
      <c r="H10" s="154" t="e">
        <f t="shared" si="1"/>
        <v>#DIV/0!</v>
      </c>
      <c r="I10" s="375"/>
      <c r="J10" s="371"/>
      <c r="K10" s="371"/>
    </row>
    <row r="11" spans="1:15" ht="37.5">
      <c r="A11" s="8" t="s">
        <v>60</v>
      </c>
      <c r="B11" s="68">
        <v>4050</v>
      </c>
      <c r="C11" s="117"/>
      <c r="D11" s="117"/>
      <c r="E11" s="117"/>
      <c r="F11" s="117"/>
      <c r="G11" s="117">
        <f t="shared" si="0"/>
        <v>0</v>
      </c>
      <c r="H11" s="154" t="e">
        <f t="shared" si="1"/>
        <v>#DIV/0!</v>
      </c>
    </row>
    <row r="12" spans="1:15">
      <c r="A12" s="8" t="s">
        <v>243</v>
      </c>
      <c r="B12" s="68">
        <v>4060</v>
      </c>
      <c r="C12" s="117"/>
      <c r="D12" s="117"/>
      <c r="E12" s="117"/>
      <c r="F12" s="117"/>
      <c r="G12" s="117">
        <f t="shared" si="0"/>
        <v>0</v>
      </c>
      <c r="H12" s="154" t="e">
        <f t="shared" si="1"/>
        <v>#DIV/0!</v>
      </c>
    </row>
    <row r="13" spans="1:15">
      <c r="B13" s="3"/>
      <c r="C13" s="3"/>
      <c r="D13" s="3"/>
      <c r="E13" s="3"/>
      <c r="F13" s="3"/>
      <c r="G13" s="3"/>
      <c r="H13" s="3"/>
    </row>
    <row r="14" spans="1:15">
      <c r="B14" s="3"/>
      <c r="C14" s="3"/>
      <c r="D14" s="3"/>
      <c r="E14" s="3"/>
      <c r="F14" s="3"/>
      <c r="G14" s="3"/>
      <c r="H14" s="3"/>
    </row>
    <row r="15" spans="1:15" s="2" customFormat="1" ht="19.5" customHeight="1">
      <c r="A15" s="4"/>
      <c r="I15" s="3"/>
    </row>
    <row r="16" spans="1:15" ht="27.75" customHeight="1">
      <c r="A16" s="343" t="str">
        <f>' V. Коефіцієнти'!A27</f>
        <v xml:space="preserve"> Директор         </v>
      </c>
      <c r="B16" s="1"/>
      <c r="C16" s="369" t="s">
        <v>159</v>
      </c>
      <c r="D16" s="369"/>
      <c r="E16" s="84"/>
      <c r="F16" s="408" t="str">
        <f>'ІІІ. Рух грош. коштів'!F97:H97</f>
        <v xml:space="preserve">                           Тетяна ЛАТИШЕНКО                       </v>
      </c>
      <c r="G16" s="408"/>
      <c r="H16" s="408"/>
    </row>
    <row r="17" spans="1:8" s="2" customFormat="1">
      <c r="A17" s="25" t="s">
        <v>68</v>
      </c>
      <c r="B17" s="3"/>
      <c r="C17" s="371" t="s">
        <v>69</v>
      </c>
      <c r="D17" s="371"/>
      <c r="E17" s="3"/>
      <c r="F17" s="367" t="s">
        <v>210</v>
      </c>
      <c r="G17" s="367"/>
      <c r="H17" s="367"/>
    </row>
    <row r="18" spans="1:8">
      <c r="A18" s="53"/>
    </row>
    <row r="19" spans="1:8">
      <c r="A19" s="53"/>
    </row>
    <row r="20" spans="1:8">
      <c r="A20" s="53"/>
    </row>
    <row r="21" spans="1:8">
      <c r="A21" s="53"/>
    </row>
    <row r="22" spans="1:8">
      <c r="A22" s="53"/>
    </row>
    <row r="23" spans="1:8">
      <c r="A23" s="53"/>
    </row>
    <row r="24" spans="1:8">
      <c r="A24" s="53"/>
    </row>
    <row r="25" spans="1:8">
      <c r="A25" s="53"/>
    </row>
    <row r="26" spans="1:8">
      <c r="A26" s="53"/>
    </row>
    <row r="27" spans="1:8">
      <c r="A27" s="319"/>
    </row>
    <row r="28" spans="1:8">
      <c r="A28" s="25"/>
    </row>
    <row r="29" spans="1:8">
      <c r="A29" s="53"/>
    </row>
    <row r="30" spans="1:8">
      <c r="A30" s="53"/>
    </row>
    <row r="31" spans="1:8">
      <c r="A31" s="53"/>
    </row>
    <row r="32" spans="1:8">
      <c r="A32" s="53"/>
    </row>
    <row r="33" spans="1:9">
      <c r="A33" s="53"/>
    </row>
    <row r="34" spans="1:9">
      <c r="A34" s="53"/>
      <c r="D34" s="282"/>
      <c r="E34" s="282"/>
      <c r="F34" s="282"/>
      <c r="G34" s="282"/>
      <c r="H34" s="282"/>
    </row>
    <row r="35" spans="1:9">
      <c r="A35" s="53"/>
      <c r="D35" s="282"/>
      <c r="E35" s="282"/>
      <c r="F35" s="282"/>
      <c r="G35" s="282"/>
      <c r="H35" s="282"/>
    </row>
    <row r="36" spans="1:9">
      <c r="A36" s="53"/>
      <c r="D36" s="282"/>
      <c r="E36" s="282"/>
      <c r="F36" s="282"/>
      <c r="G36" s="282"/>
      <c r="H36" s="282"/>
    </row>
    <row r="37" spans="1:9">
      <c r="A37" s="53"/>
      <c r="D37" s="282"/>
      <c r="E37" s="282"/>
      <c r="F37" s="282"/>
      <c r="G37" s="282"/>
      <c r="H37" s="282"/>
    </row>
    <row r="38" spans="1:9">
      <c r="A38" s="53"/>
      <c r="D38" s="282"/>
      <c r="E38" s="282"/>
      <c r="F38" s="282"/>
      <c r="G38" s="282"/>
      <c r="H38" s="282"/>
    </row>
    <row r="39" spans="1:9">
      <c r="A39" s="53"/>
      <c r="D39" s="282"/>
      <c r="E39" s="282"/>
      <c r="F39" s="282"/>
      <c r="G39" s="282"/>
      <c r="H39" s="282"/>
    </row>
    <row r="40" spans="1:9">
      <c r="A40" s="53"/>
      <c r="D40" s="282"/>
      <c r="E40" s="282"/>
      <c r="F40" s="282"/>
      <c r="G40" s="282"/>
      <c r="H40" s="282"/>
    </row>
    <row r="41" spans="1:9">
      <c r="A41" s="53"/>
      <c r="D41" s="282"/>
      <c r="E41" s="282"/>
      <c r="F41" s="282"/>
      <c r="G41" s="282"/>
      <c r="H41" s="282"/>
    </row>
    <row r="42" spans="1:9">
      <c r="A42" s="53"/>
      <c r="D42" s="282"/>
      <c r="E42" s="282"/>
      <c r="F42" s="282"/>
      <c r="G42" s="282"/>
      <c r="H42" s="282"/>
    </row>
    <row r="43" spans="1:9">
      <c r="A43" s="53"/>
      <c r="D43" s="282"/>
      <c r="E43" s="282"/>
      <c r="F43" s="282"/>
      <c r="G43" s="282"/>
      <c r="H43" s="282"/>
    </row>
    <row r="44" spans="1:9">
      <c r="A44" s="53"/>
      <c r="D44" s="282"/>
      <c r="E44" s="282"/>
      <c r="F44" s="282"/>
      <c r="G44" s="282"/>
      <c r="H44" s="282"/>
    </row>
    <row r="45" spans="1:9">
      <c r="A45" s="53"/>
      <c r="D45" s="272"/>
      <c r="E45" s="272"/>
      <c r="F45" s="272"/>
      <c r="G45" s="272"/>
      <c r="H45" s="272"/>
      <c r="I45" s="253"/>
    </row>
    <row r="46" spans="1:9">
      <c r="A46" s="53"/>
      <c r="D46" s="282"/>
      <c r="E46" s="282"/>
      <c r="F46" s="282"/>
      <c r="G46" s="282"/>
      <c r="H46" s="282"/>
    </row>
    <row r="47" spans="1:9">
      <c r="A47" s="56"/>
      <c r="D47" s="282"/>
      <c r="E47" s="282"/>
      <c r="F47" s="282"/>
      <c r="G47" s="282"/>
      <c r="H47" s="282"/>
    </row>
    <row r="48" spans="1:9">
      <c r="A48" s="25"/>
      <c r="D48" s="282"/>
      <c r="E48" s="282"/>
      <c r="F48" s="282"/>
      <c r="G48" s="282"/>
      <c r="H48" s="282"/>
    </row>
    <row r="49" spans="1:8">
      <c r="A49" s="53"/>
      <c r="D49" s="282"/>
      <c r="E49" s="282"/>
      <c r="F49" s="282"/>
      <c r="G49" s="282"/>
      <c r="H49" s="282"/>
    </row>
    <row r="50" spans="1:8">
      <c r="A50" s="53"/>
      <c r="D50" s="282"/>
      <c r="E50" s="282"/>
      <c r="F50" s="282"/>
      <c r="G50" s="282"/>
      <c r="H50" s="282"/>
    </row>
    <row r="51" spans="1:8">
      <c r="A51" s="53"/>
      <c r="D51" s="282"/>
      <c r="E51" s="282"/>
      <c r="F51" s="282"/>
      <c r="G51" s="282"/>
      <c r="H51" s="282"/>
    </row>
    <row r="52" spans="1:8">
      <c r="A52" s="53"/>
    </row>
    <row r="53" spans="1:8">
      <c r="A53" s="53"/>
    </row>
    <row r="54" spans="1:8">
      <c r="A54" s="53"/>
    </row>
    <row r="55" spans="1:8">
      <c r="A55" s="53"/>
    </row>
    <row r="56" spans="1:8">
      <c r="A56" s="53"/>
      <c r="B56" s="264"/>
      <c r="C56" s="264"/>
      <c r="D56" s="264"/>
      <c r="E56" s="264"/>
      <c r="F56" s="264"/>
      <c r="G56" s="264"/>
    </row>
    <row r="57" spans="1:8">
      <c r="A57" s="53"/>
    </row>
    <row r="58" spans="1:8">
      <c r="A58" s="53"/>
    </row>
    <row r="59" spans="1:8">
      <c r="A59" s="53"/>
    </row>
    <row r="60" spans="1:8">
      <c r="A60" s="53"/>
      <c r="D60" s="282"/>
      <c r="E60" s="282"/>
      <c r="F60" s="282"/>
      <c r="G60" s="282"/>
      <c r="H60" s="282"/>
    </row>
    <row r="61" spans="1:8">
      <c r="A61" s="53"/>
      <c r="D61" s="282"/>
      <c r="E61" s="282"/>
      <c r="F61" s="282"/>
      <c r="G61" s="282"/>
      <c r="H61" s="282"/>
    </row>
    <row r="62" spans="1:8">
      <c r="A62" s="53"/>
      <c r="D62" s="282"/>
      <c r="E62" s="282"/>
      <c r="F62" s="282"/>
      <c r="G62" s="282"/>
      <c r="H62" s="282"/>
    </row>
    <row r="63" spans="1:8">
      <c r="A63" s="53"/>
      <c r="D63" s="282"/>
      <c r="E63" s="282"/>
      <c r="F63" s="282"/>
      <c r="G63" s="282"/>
      <c r="H63" s="282"/>
    </row>
    <row r="64" spans="1:8">
      <c r="A64" s="53"/>
      <c r="D64" s="282"/>
      <c r="E64" s="282"/>
      <c r="F64" s="282"/>
      <c r="G64" s="282"/>
      <c r="H64" s="282"/>
    </row>
    <row r="65" spans="1:11">
      <c r="A65" s="53"/>
      <c r="D65" s="282"/>
      <c r="E65" s="282"/>
      <c r="F65" s="282"/>
      <c r="G65" s="282"/>
      <c r="H65" s="282"/>
    </row>
    <row r="66" spans="1:11">
      <c r="A66" s="53"/>
      <c r="D66" s="282"/>
      <c r="E66" s="282"/>
      <c r="F66" s="282"/>
      <c r="G66" s="282"/>
      <c r="H66" s="282"/>
    </row>
    <row r="67" spans="1:11">
      <c r="A67" s="53"/>
      <c r="D67" s="282"/>
      <c r="E67" s="282"/>
      <c r="F67" s="282"/>
      <c r="G67" s="282"/>
      <c r="H67" s="282"/>
    </row>
    <row r="68" spans="1:11">
      <c r="A68" s="53"/>
      <c r="D68" s="282"/>
      <c r="E68" s="282"/>
      <c r="F68" s="282"/>
      <c r="G68" s="282"/>
      <c r="H68" s="282"/>
    </row>
    <row r="69" spans="1:11">
      <c r="A69" s="53"/>
      <c r="D69" s="282"/>
      <c r="E69" s="282"/>
      <c r="F69" s="282"/>
      <c r="G69" s="282"/>
      <c r="H69" s="282"/>
    </row>
    <row r="70" spans="1:11">
      <c r="A70" s="53"/>
      <c r="D70" s="282"/>
      <c r="E70" s="282"/>
      <c r="F70" s="282"/>
      <c r="G70" s="282"/>
      <c r="H70" s="282"/>
    </row>
    <row r="71" spans="1:11">
      <c r="A71" s="53"/>
      <c r="D71" s="282"/>
      <c r="E71" s="282"/>
      <c r="F71" s="282"/>
      <c r="G71" s="282"/>
      <c r="H71" s="282"/>
    </row>
    <row r="72" spans="1:11">
      <c r="A72" s="53"/>
      <c r="D72" s="282"/>
      <c r="E72" s="282"/>
      <c r="F72" s="282"/>
      <c r="G72" s="282"/>
      <c r="H72" s="282"/>
    </row>
    <row r="73" spans="1:11">
      <c r="A73" s="53"/>
      <c r="D73" s="253"/>
      <c r="E73" s="253"/>
      <c r="F73" s="253"/>
      <c r="G73" s="253"/>
      <c r="H73" s="253"/>
      <c r="I73" s="253"/>
      <c r="J73" s="253"/>
      <c r="K73" s="253"/>
    </row>
    <row r="74" spans="1:11">
      <c r="A74" s="53"/>
      <c r="D74" s="253"/>
      <c r="E74" s="253"/>
      <c r="F74" s="253"/>
      <c r="G74" s="253"/>
      <c r="H74" s="253"/>
      <c r="I74" s="253"/>
      <c r="J74" s="253"/>
      <c r="K74" s="253"/>
    </row>
    <row r="75" spans="1:11">
      <c r="A75" s="53"/>
      <c r="D75" s="282"/>
      <c r="E75" s="282"/>
      <c r="F75" s="282"/>
      <c r="G75" s="282"/>
      <c r="H75" s="282"/>
    </row>
    <row r="76" spans="1:11">
      <c r="A76" s="53"/>
      <c r="D76" s="282"/>
      <c r="E76" s="282"/>
      <c r="F76" s="282"/>
      <c r="G76" s="282"/>
      <c r="H76" s="282"/>
    </row>
    <row r="77" spans="1:11">
      <c r="A77" s="53"/>
      <c r="D77" s="282"/>
      <c r="E77" s="282"/>
      <c r="F77" s="282"/>
      <c r="G77" s="282"/>
      <c r="H77" s="282"/>
    </row>
    <row r="78" spans="1:11">
      <c r="A78" s="53"/>
      <c r="D78" s="282"/>
      <c r="E78" s="282"/>
      <c r="F78" s="282"/>
      <c r="G78" s="282"/>
      <c r="H78" s="282"/>
    </row>
    <row r="79" spans="1:11">
      <c r="A79" s="53"/>
      <c r="D79" s="282"/>
      <c r="E79" s="282"/>
      <c r="F79" s="282"/>
      <c r="G79" s="282"/>
      <c r="H79" s="282"/>
    </row>
    <row r="80" spans="1:11">
      <c r="A80" s="53"/>
    </row>
    <row r="81" spans="1:8">
      <c r="A81" s="53"/>
    </row>
    <row r="82" spans="1:8">
      <c r="A82" s="53"/>
    </row>
    <row r="83" spans="1:8">
      <c r="A83" s="53"/>
      <c r="D83" s="282"/>
      <c r="E83" s="282"/>
      <c r="F83" s="282"/>
      <c r="G83" s="282"/>
      <c r="H83" s="282"/>
    </row>
    <row r="84" spans="1:8">
      <c r="A84" s="53"/>
      <c r="D84" s="282"/>
      <c r="E84" s="282"/>
      <c r="F84" s="282"/>
      <c r="G84" s="282"/>
      <c r="H84" s="282"/>
    </row>
    <row r="85" spans="1:8">
      <c r="A85" s="53"/>
      <c r="D85" s="282"/>
      <c r="E85" s="282"/>
      <c r="F85" s="282"/>
      <c r="G85" s="282"/>
      <c r="H85" s="282"/>
    </row>
    <row r="86" spans="1:8">
      <c r="A86" s="53"/>
      <c r="D86" s="282"/>
      <c r="E86" s="282"/>
      <c r="F86" s="282"/>
      <c r="G86" s="282"/>
      <c r="H86" s="282"/>
    </row>
    <row r="87" spans="1:8">
      <c r="A87" s="53"/>
      <c r="D87" s="282"/>
      <c r="E87" s="282"/>
      <c r="F87" s="282"/>
      <c r="G87" s="282"/>
      <c r="H87" s="282"/>
    </row>
    <row r="88" spans="1:8">
      <c r="A88" s="53"/>
      <c r="D88" s="282"/>
      <c r="E88" s="282"/>
      <c r="F88" s="282"/>
      <c r="G88" s="282"/>
      <c r="H88" s="282"/>
    </row>
    <row r="89" spans="1:8">
      <c r="A89" s="53"/>
      <c r="D89" s="282"/>
      <c r="E89" s="282"/>
      <c r="F89" s="282"/>
      <c r="G89" s="282"/>
      <c r="H89" s="282"/>
    </row>
    <row r="90" spans="1:8">
      <c r="A90" s="53"/>
      <c r="D90" s="282"/>
      <c r="E90" s="282"/>
      <c r="F90" s="282"/>
      <c r="G90" s="282"/>
      <c r="H90" s="282"/>
    </row>
    <row r="91" spans="1:8">
      <c r="A91" s="53"/>
      <c r="D91" s="282"/>
      <c r="E91" s="282"/>
      <c r="F91" s="282"/>
      <c r="G91" s="282"/>
      <c r="H91" s="282"/>
    </row>
    <row r="92" spans="1:8">
      <c r="A92" s="53"/>
      <c r="D92" s="282"/>
      <c r="E92" s="282"/>
      <c r="F92" s="282"/>
      <c r="G92" s="282"/>
      <c r="H92" s="282"/>
    </row>
    <row r="93" spans="1:8">
      <c r="A93" s="53"/>
      <c r="D93" s="282"/>
      <c r="E93" s="282"/>
      <c r="F93" s="282"/>
      <c r="G93" s="282"/>
      <c r="H93" s="282"/>
    </row>
    <row r="94" spans="1:8">
      <c r="A94" s="53"/>
    </row>
    <row r="95" spans="1:8">
      <c r="A95" s="53"/>
      <c r="D95" s="282"/>
      <c r="E95" s="282"/>
      <c r="F95" s="282"/>
      <c r="G95" s="282"/>
      <c r="H95" s="282"/>
    </row>
    <row r="96" spans="1:8">
      <c r="A96" s="319" t="s">
        <v>519</v>
      </c>
      <c r="D96" s="282"/>
      <c r="E96" s="282"/>
      <c r="F96" s="282"/>
      <c r="G96" s="282"/>
      <c r="H96" s="282" t="s">
        <v>520</v>
      </c>
    </row>
    <row r="97" spans="1:8">
      <c r="A97" s="25" t="s">
        <v>68</v>
      </c>
      <c r="D97" s="282"/>
      <c r="E97" s="282"/>
      <c r="F97" s="282"/>
      <c r="G97" s="282"/>
      <c r="H97" s="282"/>
    </row>
    <row r="98" spans="1:8">
      <c r="A98" s="53"/>
      <c r="D98" s="282"/>
      <c r="E98" s="282"/>
      <c r="F98" s="282"/>
      <c r="G98" s="282"/>
      <c r="H98" s="282"/>
    </row>
    <row r="99" spans="1:8">
      <c r="A99" s="53"/>
      <c r="D99" s="282"/>
      <c r="E99" s="282"/>
      <c r="F99" s="282"/>
      <c r="G99" s="282"/>
      <c r="H99" s="282"/>
    </row>
    <row r="100" spans="1:8">
      <c r="A100" s="53"/>
      <c r="D100" s="282"/>
      <c r="E100" s="282"/>
      <c r="F100" s="282"/>
      <c r="G100" s="282"/>
      <c r="H100" s="282"/>
    </row>
    <row r="101" spans="1:8">
      <c r="A101" s="53"/>
      <c r="D101" s="282"/>
      <c r="E101" s="282"/>
      <c r="F101" s="282"/>
      <c r="G101" s="282"/>
      <c r="H101" s="282"/>
    </row>
    <row r="102" spans="1:8">
      <c r="A102" s="53"/>
      <c r="D102" s="282"/>
      <c r="E102" s="282"/>
      <c r="F102" s="282"/>
      <c r="G102" s="282"/>
      <c r="H102" s="282"/>
    </row>
    <row r="103" spans="1:8">
      <c r="A103" s="53"/>
      <c r="D103" s="282"/>
      <c r="E103" s="282"/>
      <c r="F103" s="282"/>
      <c r="G103" s="282"/>
      <c r="H103" s="282"/>
    </row>
    <row r="104" spans="1:8">
      <c r="A104" s="53"/>
      <c r="D104" s="282"/>
      <c r="E104" s="282"/>
      <c r="F104" s="282"/>
      <c r="G104" s="282"/>
      <c r="H104" s="282"/>
    </row>
    <row r="105" spans="1:8">
      <c r="A105" s="53"/>
      <c r="D105" s="282"/>
      <c r="E105" s="282"/>
      <c r="F105" s="282"/>
      <c r="G105" s="282"/>
      <c r="H105" s="282"/>
    </row>
    <row r="106" spans="1:8">
      <c r="A106" s="53"/>
      <c r="D106" s="282"/>
      <c r="E106" s="282"/>
      <c r="F106" s="282"/>
      <c r="G106" s="282"/>
      <c r="H106" s="282"/>
    </row>
    <row r="107" spans="1:8">
      <c r="A107" s="53"/>
      <c r="D107" s="282"/>
      <c r="E107" s="282"/>
      <c r="F107" s="282"/>
      <c r="G107" s="282"/>
      <c r="H107" s="282"/>
    </row>
    <row r="108" spans="1:8">
      <c r="A108" s="53"/>
    </row>
    <row r="109" spans="1:8">
      <c r="A109" s="53"/>
    </row>
    <row r="110" spans="1:8">
      <c r="A110" s="53"/>
      <c r="E110" s="282"/>
      <c r="F110" s="282"/>
      <c r="G110" s="282"/>
      <c r="H110" s="282"/>
    </row>
    <row r="111" spans="1:8">
      <c r="A111" s="53"/>
      <c r="E111" s="282"/>
      <c r="F111" s="282"/>
      <c r="G111" s="282"/>
      <c r="H111" s="282"/>
    </row>
    <row r="112" spans="1:8">
      <c r="A112" s="53"/>
    </row>
    <row r="113" spans="1:8">
      <c r="A113" s="53"/>
    </row>
    <row r="114" spans="1:8">
      <c r="A114" s="53"/>
    </row>
    <row r="115" spans="1:8">
      <c r="A115" s="53"/>
    </row>
    <row r="116" spans="1:8">
      <c r="A116" s="53"/>
    </row>
    <row r="117" spans="1:8">
      <c r="A117" s="56"/>
      <c r="E117" s="282"/>
      <c r="F117" s="282"/>
      <c r="G117" s="282"/>
      <c r="H117" s="282"/>
    </row>
    <row r="118" spans="1:8">
      <c r="A118" s="25"/>
      <c r="E118" s="282"/>
      <c r="F118" s="282"/>
      <c r="G118" s="282"/>
      <c r="H118" s="282"/>
    </row>
    <row r="119" spans="1:8">
      <c r="A119" s="53"/>
      <c r="E119" s="282"/>
      <c r="F119" s="282"/>
      <c r="G119" s="282"/>
      <c r="H119" s="282"/>
    </row>
    <row r="120" spans="1:8">
      <c r="A120" s="53"/>
      <c r="E120" s="282"/>
      <c r="F120" s="282"/>
      <c r="G120" s="282"/>
      <c r="H120" s="282"/>
    </row>
    <row r="121" spans="1:8">
      <c r="A121" s="53"/>
      <c r="E121" s="282"/>
      <c r="F121" s="282"/>
      <c r="G121" s="282"/>
      <c r="H121" s="282"/>
    </row>
    <row r="122" spans="1:8">
      <c r="A122" s="53"/>
      <c r="E122" s="282"/>
      <c r="F122" s="282"/>
      <c r="G122" s="282"/>
      <c r="H122" s="282"/>
    </row>
    <row r="123" spans="1:8">
      <c r="A123" s="53"/>
      <c r="E123" s="282"/>
      <c r="F123" s="282"/>
      <c r="G123" s="282"/>
      <c r="H123" s="282"/>
    </row>
    <row r="124" spans="1:8">
      <c r="A124" s="53"/>
      <c r="E124" s="282"/>
      <c r="F124" s="282"/>
      <c r="G124" s="282"/>
      <c r="H124" s="282"/>
    </row>
    <row r="125" spans="1:8">
      <c r="A125" s="53"/>
      <c r="E125" s="282"/>
      <c r="F125" s="282"/>
      <c r="G125" s="282"/>
      <c r="H125" s="282"/>
    </row>
    <row r="126" spans="1:8">
      <c r="A126" s="53"/>
      <c r="E126" s="282"/>
      <c r="F126" s="282"/>
      <c r="G126" s="282"/>
      <c r="H126" s="282"/>
    </row>
    <row r="127" spans="1:8">
      <c r="A127" s="53"/>
      <c r="E127" s="282"/>
      <c r="F127" s="282"/>
      <c r="G127" s="282"/>
      <c r="H127" s="282"/>
    </row>
    <row r="128" spans="1:8">
      <c r="A128" s="53"/>
      <c r="E128" s="282"/>
      <c r="F128" s="282"/>
      <c r="G128" s="282"/>
      <c r="H128" s="282"/>
    </row>
    <row r="129" spans="1:1">
      <c r="A129" s="53"/>
    </row>
    <row r="130" spans="1:1">
      <c r="A130" s="53"/>
    </row>
    <row r="131" spans="1:1">
      <c r="A131" s="53"/>
    </row>
    <row r="132" spans="1:1">
      <c r="A132" s="53"/>
    </row>
    <row r="133" spans="1:1">
      <c r="A133" s="53"/>
    </row>
    <row r="134" spans="1:1">
      <c r="A134" s="53"/>
    </row>
    <row r="135" spans="1:1">
      <c r="A135" s="53"/>
    </row>
    <row r="136" spans="1:1">
      <c r="A136" s="53"/>
    </row>
    <row r="137" spans="1:1">
      <c r="A137" s="53"/>
    </row>
    <row r="138" spans="1:1">
      <c r="A138" s="53"/>
    </row>
    <row r="139" spans="1:1">
      <c r="A139" s="53"/>
    </row>
    <row r="140" spans="1:1">
      <c r="A140" s="53"/>
    </row>
    <row r="141" spans="1:1">
      <c r="A141" s="53"/>
    </row>
    <row r="142" spans="1:1">
      <c r="A142" s="53"/>
    </row>
    <row r="143" spans="1:1">
      <c r="A143" s="53"/>
    </row>
    <row r="144" spans="1:1">
      <c r="A144" s="53"/>
    </row>
    <row r="145" spans="1:1">
      <c r="A145" s="53"/>
    </row>
    <row r="146" spans="1:1">
      <c r="A146" s="53"/>
    </row>
    <row r="147" spans="1:1">
      <c r="A147" s="53"/>
    </row>
    <row r="148" spans="1:1">
      <c r="A148" s="53"/>
    </row>
    <row r="149" spans="1:1">
      <c r="A149" s="53"/>
    </row>
    <row r="150" spans="1:1">
      <c r="A150" s="53"/>
    </row>
    <row r="151" spans="1:1">
      <c r="A151" s="53"/>
    </row>
    <row r="152" spans="1:1">
      <c r="A152" s="53"/>
    </row>
    <row r="153" spans="1:1">
      <c r="A153" s="53"/>
    </row>
    <row r="154" spans="1:1">
      <c r="A154" s="53"/>
    </row>
    <row r="155" spans="1:1">
      <c r="A155" s="53"/>
    </row>
    <row r="156" spans="1:1">
      <c r="A156" s="53"/>
    </row>
    <row r="157" spans="1:1">
      <c r="A157" s="53"/>
    </row>
    <row r="158" spans="1:1">
      <c r="A158" s="53"/>
    </row>
    <row r="159" spans="1:1">
      <c r="A159" s="53"/>
    </row>
    <row r="160" spans="1:1">
      <c r="A160" s="53"/>
    </row>
    <row r="161" spans="1:8">
      <c r="A161" s="53"/>
    </row>
    <row r="162" spans="1:8">
      <c r="A162" s="53"/>
    </row>
    <row r="163" spans="1:8">
      <c r="A163" s="53"/>
    </row>
    <row r="164" spans="1:8">
      <c r="A164" s="53"/>
    </row>
    <row r="165" spans="1:8">
      <c r="A165" s="53"/>
      <c r="G165" s="282"/>
      <c r="H165" s="282"/>
    </row>
    <row r="166" spans="1:8">
      <c r="A166" s="53"/>
      <c r="G166" s="282"/>
      <c r="H166" s="282"/>
    </row>
    <row r="167" spans="1:8">
      <c r="A167" s="53"/>
      <c r="G167" s="282"/>
      <c r="H167" s="282"/>
    </row>
    <row r="168" spans="1:8">
      <c r="A168" s="53"/>
      <c r="G168" s="282"/>
      <c r="H168" s="282"/>
    </row>
    <row r="169" spans="1:8">
      <c r="A169" s="53"/>
      <c r="G169" s="282"/>
      <c r="H169" s="282"/>
    </row>
    <row r="170" spans="1:8">
      <c r="A170" s="53"/>
      <c r="G170" s="282"/>
      <c r="H170" s="282"/>
    </row>
    <row r="171" spans="1:8">
      <c r="A171" s="53"/>
      <c r="G171" s="282"/>
      <c r="H171" s="282"/>
    </row>
    <row r="172" spans="1:8">
      <c r="A172" s="53"/>
    </row>
    <row r="173" spans="1:8">
      <c r="A173" s="53"/>
    </row>
    <row r="174" spans="1:8">
      <c r="A174" s="53"/>
    </row>
    <row r="176" spans="1:8">
      <c r="A176" s="25"/>
    </row>
    <row r="177" spans="1:1">
      <c r="A177" s="53"/>
    </row>
    <row r="178" spans="1:1">
      <c r="A178" s="53"/>
    </row>
    <row r="179" spans="1:1">
      <c r="A179" s="53"/>
    </row>
    <row r="180" spans="1:1">
      <c r="A180" s="53"/>
    </row>
    <row r="181" spans="1:1">
      <c r="A181" s="53"/>
    </row>
    <row r="182" spans="1:1">
      <c r="A182" s="53"/>
    </row>
  </sheetData>
  <mergeCells count="11">
    <mergeCell ref="C17:D17"/>
    <mergeCell ref="F17:H17"/>
    <mergeCell ref="C3:D3"/>
    <mergeCell ref="E3:H3"/>
    <mergeCell ref="C16:D16"/>
    <mergeCell ref="F16:H16"/>
    <mergeCell ref="I10:K10"/>
    <mergeCell ref="A3:A4"/>
    <mergeCell ref="A1:H1"/>
    <mergeCell ref="B3:B4"/>
    <mergeCell ref="A2:H2"/>
  </mergeCells>
  <phoneticPr fontId="0" type="noConversion"/>
  <pageMargins left="1.1811023622047245" right="0.39370078740157483" top="0.78740157480314965" bottom="0.78740157480314965" header="0.27559055118110237" footer="0.31496062992125984"/>
  <pageSetup paperSize="9" scale="54" firstPageNumber="9" orientation="landscape" useFirstPageNumber="1" r:id="rId1"/>
  <headerFooter alignWithMargins="0">
    <oddHeader xml:space="preserve">&amp;C
&amp;"Times New Roman,обычный"&amp;14 11&amp;R&amp;"Times New Roman,обычный"&amp;14Продовження додатка 3
Таблиця 4  
</oddHeader>
  </headerFooter>
  <ignoredErrors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3"/>
  </sheetPr>
  <dimension ref="A1:K176"/>
  <sheetViews>
    <sheetView zoomScale="75" zoomScaleNormal="75" zoomScaleSheetLayoutView="52" workbookViewId="0">
      <pane xSplit="1" ySplit="5" topLeftCell="B18" activePane="bottomRight" state="frozen"/>
      <selection activeCell="F106" sqref="F106"/>
      <selection pane="topRight" activeCell="F106" sqref="F106"/>
      <selection pane="bottomLeft" activeCell="F106" sqref="F106"/>
      <selection pane="bottomRight" activeCell="E53" sqref="E53"/>
    </sheetView>
  </sheetViews>
  <sheetFormatPr defaultRowHeight="12.75"/>
  <cols>
    <col min="1" max="1" width="95" style="32" customWidth="1"/>
    <col min="2" max="2" width="19.42578125" style="32" customWidth="1"/>
    <col min="3" max="7" width="26" style="32" customWidth="1"/>
    <col min="8" max="8" width="81.5703125" style="32" customWidth="1"/>
    <col min="9" max="9" width="9.5703125" style="32" customWidth="1"/>
    <col min="10" max="10" width="9.140625" style="32"/>
    <col min="11" max="11" width="27.140625" style="32" customWidth="1"/>
    <col min="12" max="16384" width="9.140625" style="32"/>
  </cols>
  <sheetData>
    <row r="1" spans="1:11" ht="19.5" customHeight="1">
      <c r="A1" s="412" t="s">
        <v>146</v>
      </c>
      <c r="B1" s="412"/>
      <c r="C1" s="412"/>
      <c r="D1" s="412"/>
      <c r="E1" s="412"/>
      <c r="F1" s="412"/>
      <c r="G1" s="412"/>
      <c r="H1" s="412"/>
    </row>
    <row r="2" spans="1:11" ht="16.5" customHeight="1"/>
    <row r="3" spans="1:11" ht="49.5" customHeight="1">
      <c r="A3" s="413" t="s">
        <v>189</v>
      </c>
      <c r="B3" s="413" t="s">
        <v>0</v>
      </c>
      <c r="C3" s="413" t="s">
        <v>84</v>
      </c>
      <c r="D3" s="373" t="s">
        <v>155</v>
      </c>
      <c r="E3" s="373"/>
      <c r="F3" s="373" t="s">
        <v>455</v>
      </c>
      <c r="G3" s="373"/>
      <c r="H3" s="413" t="s">
        <v>207</v>
      </c>
    </row>
    <row r="4" spans="1:11" ht="63" customHeight="1">
      <c r="A4" s="414"/>
      <c r="B4" s="414"/>
      <c r="C4" s="414"/>
      <c r="D4" s="7" t="s">
        <v>176</v>
      </c>
      <c r="E4" s="7" t="s">
        <v>177</v>
      </c>
      <c r="F4" s="7" t="s">
        <v>176</v>
      </c>
      <c r="G4" s="7" t="s">
        <v>177</v>
      </c>
      <c r="H4" s="414"/>
    </row>
    <row r="5" spans="1:11" s="65" customFormat="1" ht="18.7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pans="1:11" s="65" customFormat="1" ht="24.95" customHeight="1">
      <c r="A6" s="64" t="s">
        <v>131</v>
      </c>
      <c r="B6" s="64"/>
      <c r="C6" s="44"/>
      <c r="D6" s="44"/>
      <c r="E6" s="44"/>
      <c r="F6" s="44"/>
      <c r="G6" s="44"/>
      <c r="H6" s="44"/>
    </row>
    <row r="7" spans="1:11" ht="56.25">
      <c r="A7" s="8" t="s">
        <v>383</v>
      </c>
      <c r="B7" s="7">
        <v>5000</v>
      </c>
      <c r="C7" s="112" t="s">
        <v>216</v>
      </c>
      <c r="D7" s="169" t="e">
        <f>('I. Фін результат'!C22/'I. Фін результат'!C7)*100</f>
        <v>#VALUE!</v>
      </c>
      <c r="E7" s="169">
        <f>('I. Фін результат'!D22/'I. Фін результат'!D7)*100</f>
        <v>-96.444853396830595</v>
      </c>
      <c r="F7" s="169"/>
      <c r="G7" s="169">
        <f>('I. Фін результат'!F22/'I. Фін результат'!F7)*100%</f>
        <v>-1.0785962648301155</v>
      </c>
      <c r="H7" s="100"/>
    </row>
    <row r="8" spans="1:11" ht="56.25">
      <c r="A8" s="8" t="s">
        <v>384</v>
      </c>
      <c r="B8" s="7">
        <v>5010</v>
      </c>
      <c r="C8" s="112" t="s">
        <v>216</v>
      </c>
      <c r="D8" s="169" t="e">
        <f>('I. Фін результат'!C105/'I. Фін результат'!C7)*100</f>
        <v>#REF!</v>
      </c>
      <c r="E8" s="169" t="e">
        <f>('I. Фін результат'!D105/'I. Фін результат'!D7)*100</f>
        <v>#VALUE!</v>
      </c>
      <c r="F8" s="169"/>
      <c r="G8" s="169"/>
      <c r="H8" s="100"/>
    </row>
    <row r="9" spans="1:11" ht="42.75" customHeight="1">
      <c r="A9" s="31" t="s">
        <v>385</v>
      </c>
      <c r="B9" s="7">
        <v>5020</v>
      </c>
      <c r="C9" s="112" t="s">
        <v>216</v>
      </c>
      <c r="D9" s="169" t="e">
        <f>('Осн. фін. пок.'!C65/'Осн. фін. пок.'!C142)*100</f>
        <v>#VALUE!</v>
      </c>
      <c r="E9" s="169" t="e">
        <f>('Осн. фін. пок.'!D65/'Осн. фін. пок.'!D142)*100</f>
        <v>#DIV/0!</v>
      </c>
      <c r="F9" s="169"/>
      <c r="G9" s="169"/>
      <c r="H9" s="100" t="s">
        <v>217</v>
      </c>
    </row>
    <row r="10" spans="1:11" ht="42.75" customHeight="1">
      <c r="A10" s="31" t="s">
        <v>386</v>
      </c>
      <c r="B10" s="12">
        <v>5030</v>
      </c>
      <c r="C10" s="311" t="s">
        <v>216</v>
      </c>
      <c r="D10" s="312" t="e">
        <f>('Осн. фін. пок.'!C65/'Осн. фін. пок.'!C148)*100</f>
        <v>#VALUE!</v>
      </c>
      <c r="E10" s="312" t="e">
        <f>('Осн. фін. пок.'!D65/'Осн. фін. пок.'!D148)*100</f>
        <v>#DIV/0!</v>
      </c>
      <c r="F10" s="169"/>
      <c r="G10" s="169"/>
      <c r="H10" s="100"/>
      <c r="I10" s="415"/>
      <c r="J10" s="416"/>
      <c r="K10" s="416"/>
    </row>
    <row r="11" spans="1:11" ht="56.25">
      <c r="A11" s="31" t="s">
        <v>387</v>
      </c>
      <c r="B11" s="7">
        <v>5040</v>
      </c>
      <c r="C11" s="112" t="s">
        <v>216</v>
      </c>
      <c r="D11" s="169" t="e">
        <f>('Осн. фін. пок.'!C65/'Осн. фін. пок.'!C34)*100</f>
        <v>#VALUE!</v>
      </c>
      <c r="E11" s="169">
        <f>('Осн. фін. пок.'!D65/'Осн. фін. пок.'!D34)*100</f>
        <v>-7.280218773143833</v>
      </c>
      <c r="F11" s="169"/>
      <c r="G11" s="169"/>
      <c r="H11" s="100" t="s">
        <v>218</v>
      </c>
    </row>
    <row r="12" spans="1:11" ht="24.95" customHeight="1">
      <c r="A12" s="64" t="s">
        <v>133</v>
      </c>
      <c r="B12" s="7"/>
      <c r="C12" s="113"/>
      <c r="D12" s="99"/>
      <c r="E12" s="99"/>
      <c r="F12" s="99"/>
      <c r="G12" s="99"/>
      <c r="H12" s="100"/>
    </row>
    <row r="13" spans="1:11" ht="56.25">
      <c r="A13" s="100" t="s">
        <v>352</v>
      </c>
      <c r="B13" s="7">
        <v>5100</v>
      </c>
      <c r="C13" s="112"/>
      <c r="D13" s="169" t="e">
        <f>('Осн. фін. пок.'!C143+'Осн. фін. пок.'!C144)/'Осн. фін. пок.'!C50</f>
        <v>#REF!</v>
      </c>
      <c r="E13" s="169" t="e">
        <f>('Осн. фін. пок.'!D143+'Осн. фін. пок.'!D144)/'Осн. фін. пок.'!D50</f>
        <v>#VALUE!</v>
      </c>
      <c r="F13" s="169"/>
      <c r="G13" s="169"/>
      <c r="H13" s="100"/>
    </row>
    <row r="14" spans="1:11" s="65" customFormat="1" ht="56.25">
      <c r="A14" s="100" t="s">
        <v>371</v>
      </c>
      <c r="B14" s="7">
        <v>5110</v>
      </c>
      <c r="C14" s="112" t="s">
        <v>128</v>
      </c>
      <c r="D14" s="169" t="e">
        <f>'Осн. фін. пок.'!C148/('Осн. фін. пок.'!C143+'Осн. фін. пок.'!C144)</f>
        <v>#DIV/0!</v>
      </c>
      <c r="E14" s="169" t="e">
        <f>'Осн. фін. пок.'!D148/('Осн. фін. пок.'!D143+'Осн. фін. пок.'!D144)</f>
        <v>#DIV/0!</v>
      </c>
      <c r="F14" s="169"/>
      <c r="G14" s="169"/>
      <c r="H14" s="100" t="s">
        <v>219</v>
      </c>
    </row>
    <row r="15" spans="1:11" s="65" customFormat="1" ht="56.25">
      <c r="A15" s="100" t="s">
        <v>372</v>
      </c>
      <c r="B15" s="7">
        <v>5120</v>
      </c>
      <c r="C15" s="112" t="s">
        <v>128</v>
      </c>
      <c r="D15" s="169" t="e">
        <f>'Осн. фін. пок.'!C140/'Осн. фін. пок.'!C144</f>
        <v>#DIV/0!</v>
      </c>
      <c r="E15" s="169" t="e">
        <f>'Осн. фін. пок.'!D140/'Осн. фін. пок.'!D144</f>
        <v>#DIV/0!</v>
      </c>
      <c r="F15" s="169"/>
      <c r="G15" s="169"/>
      <c r="H15" s="100" t="s">
        <v>221</v>
      </c>
    </row>
    <row r="16" spans="1:11" ht="24.95" customHeight="1">
      <c r="A16" s="324" t="s">
        <v>132</v>
      </c>
      <c r="B16" s="7"/>
      <c r="C16" s="112"/>
      <c r="D16" s="99"/>
      <c r="E16" s="99"/>
      <c r="F16" s="99"/>
      <c r="G16" s="99"/>
      <c r="H16" s="100"/>
    </row>
    <row r="17" spans="1:11" ht="42.75" customHeight="1">
      <c r="A17" s="100" t="s">
        <v>373</v>
      </c>
      <c r="B17" s="7">
        <v>5200</v>
      </c>
      <c r="C17" s="112"/>
      <c r="D17" s="169" t="e">
        <f>'Осн. фін. пок.'!C117/'Осн. фін. пок.'!C77</f>
        <v>#DIV/0!</v>
      </c>
      <c r="E17" s="169">
        <f>'Осн. фін. пок.'!D117/'Осн. фін. пок.'!D77</f>
        <v>-1.9936866844083525</v>
      </c>
      <c r="F17" s="169"/>
      <c r="G17" s="169"/>
      <c r="H17" s="100"/>
    </row>
    <row r="18" spans="1:11" ht="75">
      <c r="A18" s="100" t="s">
        <v>374</v>
      </c>
      <c r="B18" s="7">
        <v>5210</v>
      </c>
      <c r="C18" s="112"/>
      <c r="D18" s="169" t="e">
        <f>'Осн. фін. пок.'!C117/'Осн. фін. пок.'!C34</f>
        <v>#DIV/0!</v>
      </c>
      <c r="E18" s="169">
        <f>'Осн. фін. пок.'!D117/'Осн. фін. пок.'!D34</f>
        <v>0.33094393069453204</v>
      </c>
      <c r="F18" s="169"/>
      <c r="G18" s="169"/>
      <c r="H18" s="100"/>
    </row>
    <row r="19" spans="1:11" ht="37.5">
      <c r="A19" s="100" t="s">
        <v>375</v>
      </c>
      <c r="B19" s="7">
        <v>5220</v>
      </c>
      <c r="C19" s="112" t="s">
        <v>307</v>
      </c>
      <c r="D19" s="169" t="e">
        <f>'Осн. фін. пок.'!C139/'Осн. фін. пок.'!C138</f>
        <v>#DIV/0!</v>
      </c>
      <c r="E19" s="169" t="e">
        <f>'Осн. фін. пок.'!D139/'Осн. фін. пок.'!D138</f>
        <v>#DIV/0!</v>
      </c>
      <c r="F19" s="169"/>
      <c r="G19" s="169"/>
      <c r="H19" s="100" t="s">
        <v>220</v>
      </c>
    </row>
    <row r="20" spans="1:11" ht="24.95" customHeight="1">
      <c r="A20" s="64" t="s">
        <v>212</v>
      </c>
      <c r="B20" s="7"/>
      <c r="C20" s="112"/>
      <c r="D20" s="99"/>
      <c r="E20" s="99"/>
      <c r="F20" s="99"/>
      <c r="G20" s="99"/>
      <c r="H20" s="100"/>
    </row>
    <row r="21" spans="1:11" ht="75">
      <c r="A21" s="31" t="s">
        <v>439</v>
      </c>
      <c r="B21" s="7">
        <v>5300</v>
      </c>
      <c r="C21" s="112"/>
      <c r="D21" s="99"/>
      <c r="E21" s="99"/>
      <c r="F21" s="99"/>
      <c r="G21" s="99"/>
      <c r="H21" s="102"/>
    </row>
    <row r="26" spans="1:11" ht="20.25">
      <c r="K26" s="101"/>
    </row>
    <row r="27" spans="1:11" s="3" customFormat="1" ht="27.75" customHeight="1">
      <c r="A27" s="343" t="s">
        <v>529</v>
      </c>
      <c r="B27" s="1"/>
      <c r="C27" s="369" t="s">
        <v>159</v>
      </c>
      <c r="D27" s="369"/>
      <c r="E27" s="84"/>
      <c r="F27" s="417" t="str">
        <f>'IV. Кап. інвестиції'!F16:H16</f>
        <v xml:space="preserve">                           Тетяна ЛАТИШЕНКО                       </v>
      </c>
      <c r="G27" s="417"/>
      <c r="H27" s="417"/>
    </row>
    <row r="28" spans="1:11" s="2" customFormat="1" ht="18.75">
      <c r="A28" s="25" t="s">
        <v>68</v>
      </c>
      <c r="B28" s="3"/>
      <c r="C28" s="371" t="s">
        <v>69</v>
      </c>
      <c r="D28" s="371"/>
      <c r="E28" s="3"/>
      <c r="F28" s="367" t="s">
        <v>85</v>
      </c>
      <c r="G28" s="367"/>
      <c r="H28" s="367"/>
    </row>
    <row r="34" spans="1:9">
      <c r="D34" s="281"/>
      <c r="E34" s="281"/>
      <c r="F34" s="281"/>
      <c r="G34" s="281"/>
      <c r="H34" s="281"/>
    </row>
    <row r="35" spans="1:9">
      <c r="D35" s="281"/>
      <c r="E35" s="281"/>
      <c r="F35" s="281"/>
      <c r="G35" s="281"/>
      <c r="H35" s="281"/>
    </row>
    <row r="36" spans="1:9">
      <c r="D36" s="281"/>
      <c r="E36" s="281"/>
      <c r="F36" s="281"/>
      <c r="G36" s="281"/>
      <c r="H36" s="281"/>
    </row>
    <row r="37" spans="1:9">
      <c r="D37" s="281"/>
      <c r="E37" s="281"/>
      <c r="F37" s="281"/>
      <c r="G37" s="281"/>
      <c r="H37" s="281"/>
    </row>
    <row r="38" spans="1:9">
      <c r="D38" s="281"/>
      <c r="E38" s="281"/>
      <c r="F38" s="281"/>
      <c r="G38" s="281"/>
      <c r="H38" s="281"/>
    </row>
    <row r="39" spans="1:9">
      <c r="D39" s="281"/>
      <c r="E39" s="281"/>
      <c r="F39" s="281"/>
      <c r="G39" s="281"/>
      <c r="H39" s="281"/>
    </row>
    <row r="40" spans="1:9">
      <c r="D40" s="281"/>
      <c r="E40" s="281"/>
      <c r="F40" s="281"/>
      <c r="G40" s="281"/>
      <c r="H40" s="281"/>
    </row>
    <row r="41" spans="1:9">
      <c r="D41" s="281"/>
      <c r="E41" s="281"/>
      <c r="F41" s="281"/>
      <c r="G41" s="281"/>
      <c r="H41" s="281"/>
    </row>
    <row r="42" spans="1:9">
      <c r="D42" s="281"/>
      <c r="E42" s="281"/>
      <c r="F42" s="281"/>
      <c r="G42" s="281"/>
      <c r="H42" s="281"/>
    </row>
    <row r="43" spans="1:9">
      <c r="D43" s="281"/>
      <c r="E43" s="281"/>
      <c r="F43" s="281"/>
      <c r="G43" s="281"/>
      <c r="H43" s="281"/>
    </row>
    <row r="44" spans="1:9">
      <c r="D44" s="281"/>
      <c r="E44" s="281"/>
      <c r="F44" s="281"/>
      <c r="G44" s="281"/>
      <c r="H44" s="281"/>
    </row>
    <row r="45" spans="1:9">
      <c r="D45" s="271"/>
      <c r="E45" s="271"/>
      <c r="F45" s="271"/>
      <c r="G45" s="271"/>
      <c r="H45" s="271"/>
      <c r="I45" s="271"/>
    </row>
    <row r="46" spans="1:9">
      <c r="D46" s="281"/>
      <c r="E46" s="281"/>
      <c r="F46" s="281"/>
      <c r="G46" s="281"/>
      <c r="H46" s="281"/>
    </row>
    <row r="47" spans="1:9">
      <c r="A47" s="317"/>
      <c r="D47" s="281"/>
      <c r="E47" s="281"/>
      <c r="F47" s="281"/>
      <c r="G47" s="281"/>
      <c r="H47" s="281"/>
    </row>
    <row r="48" spans="1:9">
      <c r="A48" s="320"/>
      <c r="D48" s="281"/>
      <c r="E48" s="281"/>
      <c r="F48" s="281"/>
      <c r="G48" s="281"/>
      <c r="H48" s="281"/>
    </row>
    <row r="49" spans="2:8">
      <c r="D49" s="281"/>
      <c r="E49" s="281"/>
      <c r="F49" s="281"/>
      <c r="G49" s="281"/>
      <c r="H49" s="281"/>
    </row>
    <row r="50" spans="2:8">
      <c r="D50" s="281"/>
      <c r="E50" s="281"/>
      <c r="F50" s="281"/>
      <c r="G50" s="281"/>
      <c r="H50" s="281"/>
    </row>
    <row r="51" spans="2:8">
      <c r="D51" s="281"/>
      <c r="E51" s="281"/>
      <c r="F51" s="281"/>
      <c r="G51" s="281"/>
      <c r="H51" s="281"/>
    </row>
    <row r="56" spans="2:8">
      <c r="B56" s="335"/>
      <c r="C56" s="335"/>
      <c r="D56" s="335"/>
      <c r="E56" s="335"/>
      <c r="F56" s="335"/>
      <c r="G56" s="335"/>
    </row>
    <row r="60" spans="2:8">
      <c r="D60" s="281"/>
      <c r="E60" s="281"/>
      <c r="F60" s="281"/>
      <c r="G60" s="281"/>
      <c r="H60" s="281"/>
    </row>
    <row r="61" spans="2:8">
      <c r="D61" s="281"/>
      <c r="E61" s="281"/>
      <c r="F61" s="281"/>
      <c r="G61" s="281"/>
      <c r="H61" s="281"/>
    </row>
    <row r="62" spans="2:8">
      <c r="D62" s="281"/>
      <c r="E62" s="281"/>
      <c r="F62" s="281"/>
      <c r="G62" s="281"/>
      <c r="H62" s="281"/>
    </row>
    <row r="63" spans="2:8">
      <c r="D63" s="281"/>
      <c r="E63" s="281"/>
      <c r="F63" s="281"/>
      <c r="G63" s="281"/>
      <c r="H63" s="281"/>
    </row>
    <row r="64" spans="2:8">
      <c r="D64" s="281"/>
      <c r="E64" s="281"/>
      <c r="F64" s="281"/>
      <c r="G64" s="281"/>
      <c r="H64" s="281"/>
    </row>
    <row r="65" spans="4:11">
      <c r="D65" s="281"/>
      <c r="E65" s="281"/>
      <c r="F65" s="281"/>
      <c r="G65" s="281"/>
      <c r="H65" s="281"/>
    </row>
    <row r="66" spans="4:11">
      <c r="D66" s="281"/>
      <c r="E66" s="281"/>
      <c r="F66" s="281"/>
      <c r="G66" s="281"/>
      <c r="H66" s="281"/>
    </row>
    <row r="67" spans="4:11">
      <c r="D67" s="281"/>
      <c r="E67" s="281"/>
      <c r="F67" s="281"/>
      <c r="G67" s="281"/>
      <c r="H67" s="281"/>
    </row>
    <row r="68" spans="4:11">
      <c r="D68" s="281"/>
      <c r="E68" s="281"/>
      <c r="F68" s="281"/>
      <c r="G68" s="281"/>
      <c r="H68" s="281"/>
    </row>
    <row r="69" spans="4:11">
      <c r="D69" s="281"/>
      <c r="E69" s="281"/>
      <c r="F69" s="281"/>
      <c r="G69" s="281"/>
      <c r="H69" s="281"/>
    </row>
    <row r="70" spans="4:11">
      <c r="D70" s="281"/>
      <c r="E70" s="281"/>
      <c r="F70" s="281"/>
      <c r="G70" s="281"/>
      <c r="H70" s="281"/>
    </row>
    <row r="71" spans="4:11">
      <c r="D71" s="281"/>
      <c r="E71" s="281"/>
      <c r="F71" s="281"/>
      <c r="G71" s="281"/>
      <c r="H71" s="281"/>
    </row>
    <row r="72" spans="4:11">
      <c r="D72" s="281"/>
      <c r="E72" s="281"/>
      <c r="F72" s="281"/>
      <c r="G72" s="281"/>
      <c r="H72" s="281"/>
    </row>
    <row r="73" spans="4:11">
      <c r="D73" s="327"/>
      <c r="E73" s="327"/>
      <c r="F73" s="327"/>
      <c r="G73" s="327"/>
      <c r="H73" s="327"/>
      <c r="I73" s="327"/>
      <c r="J73" s="327"/>
      <c r="K73" s="327"/>
    </row>
    <row r="74" spans="4:11">
      <c r="D74" s="327"/>
      <c r="E74" s="327"/>
      <c r="F74" s="327"/>
      <c r="G74" s="327"/>
      <c r="H74" s="327"/>
      <c r="I74" s="327"/>
      <c r="J74" s="327"/>
      <c r="K74" s="327"/>
    </row>
    <row r="75" spans="4:11">
      <c r="D75" s="281"/>
      <c r="E75" s="281"/>
      <c r="F75" s="281"/>
      <c r="G75" s="281"/>
      <c r="H75" s="281"/>
    </row>
    <row r="76" spans="4:11">
      <c r="D76" s="281"/>
      <c r="E76" s="281"/>
      <c r="F76" s="281"/>
      <c r="G76" s="281"/>
      <c r="H76" s="281"/>
    </row>
    <row r="77" spans="4:11">
      <c r="D77" s="281"/>
      <c r="E77" s="281"/>
      <c r="F77" s="281"/>
      <c r="G77" s="281"/>
      <c r="H77" s="281"/>
    </row>
    <row r="78" spans="4:11">
      <c r="D78" s="281"/>
      <c r="E78" s="281"/>
      <c r="F78" s="281"/>
      <c r="G78" s="281"/>
      <c r="H78" s="281"/>
    </row>
    <row r="79" spans="4:11">
      <c r="D79" s="281"/>
      <c r="E79" s="281"/>
      <c r="F79" s="281"/>
      <c r="G79" s="281"/>
      <c r="H79" s="281"/>
    </row>
    <row r="83" spans="1:8">
      <c r="D83" s="281"/>
      <c r="E83" s="281"/>
      <c r="F83" s="281"/>
      <c r="G83" s="281"/>
      <c r="H83" s="281"/>
    </row>
    <row r="84" spans="1:8">
      <c r="D84" s="281"/>
      <c r="E84" s="281"/>
      <c r="F84" s="281"/>
      <c r="G84" s="281"/>
      <c r="H84" s="281"/>
    </row>
    <row r="85" spans="1:8">
      <c r="D85" s="281"/>
      <c r="E85" s="281"/>
      <c r="F85" s="281"/>
      <c r="G85" s="281"/>
      <c r="H85" s="281"/>
    </row>
    <row r="86" spans="1:8">
      <c r="D86" s="281"/>
      <c r="E86" s="281"/>
      <c r="F86" s="281"/>
      <c r="G86" s="281"/>
      <c r="H86" s="281"/>
    </row>
    <row r="87" spans="1:8">
      <c r="D87" s="281"/>
      <c r="E87" s="281"/>
      <c r="F87" s="281"/>
      <c r="G87" s="281"/>
      <c r="H87" s="281"/>
    </row>
    <row r="88" spans="1:8">
      <c r="D88" s="281"/>
      <c r="E88" s="281"/>
      <c r="F88" s="281"/>
      <c r="G88" s="281"/>
      <c r="H88" s="281"/>
    </row>
    <row r="89" spans="1:8">
      <c r="D89" s="281"/>
      <c r="E89" s="281"/>
      <c r="F89" s="281"/>
      <c r="G89" s="281"/>
      <c r="H89" s="281"/>
    </row>
    <row r="90" spans="1:8">
      <c r="D90" s="281"/>
      <c r="E90" s="281"/>
      <c r="F90" s="281"/>
      <c r="G90" s="281"/>
      <c r="H90" s="281"/>
    </row>
    <row r="91" spans="1:8">
      <c r="D91" s="281"/>
      <c r="E91" s="281"/>
      <c r="F91" s="281"/>
      <c r="G91" s="281"/>
      <c r="H91" s="281"/>
    </row>
    <row r="92" spans="1:8">
      <c r="D92" s="281"/>
      <c r="E92" s="281"/>
      <c r="F92" s="281"/>
      <c r="G92" s="281"/>
      <c r="H92" s="281"/>
    </row>
    <row r="93" spans="1:8">
      <c r="D93" s="281"/>
      <c r="E93" s="281"/>
      <c r="F93" s="281"/>
      <c r="G93" s="281"/>
      <c r="H93" s="281"/>
    </row>
    <row r="95" spans="1:8">
      <c r="D95" s="281"/>
      <c r="E95" s="281"/>
      <c r="F95" s="281"/>
      <c r="G95" s="281"/>
      <c r="H95" s="281"/>
    </row>
    <row r="96" spans="1:8" ht="18.75">
      <c r="A96" s="331" t="s">
        <v>519</v>
      </c>
      <c r="D96" s="281"/>
      <c r="E96" s="281"/>
      <c r="F96" s="281"/>
      <c r="G96" s="281"/>
      <c r="H96" s="281" t="s">
        <v>520</v>
      </c>
    </row>
    <row r="97" spans="1:8">
      <c r="A97" s="320" t="s">
        <v>68</v>
      </c>
      <c r="D97" s="281"/>
      <c r="E97" s="281"/>
      <c r="F97" s="281"/>
      <c r="G97" s="281"/>
      <c r="H97" s="281"/>
    </row>
    <row r="98" spans="1:8">
      <c r="D98" s="281"/>
      <c r="E98" s="281"/>
      <c r="F98" s="281"/>
      <c r="G98" s="281"/>
      <c r="H98" s="281"/>
    </row>
    <row r="99" spans="1:8">
      <c r="D99" s="281"/>
      <c r="E99" s="281"/>
      <c r="F99" s="281"/>
      <c r="G99" s="281"/>
      <c r="H99" s="281"/>
    </row>
    <row r="100" spans="1:8">
      <c r="D100" s="281"/>
      <c r="E100" s="281"/>
      <c r="F100" s="281"/>
      <c r="G100" s="281"/>
      <c r="H100" s="281"/>
    </row>
    <row r="101" spans="1:8">
      <c r="D101" s="281"/>
      <c r="E101" s="281"/>
      <c r="F101" s="281"/>
      <c r="G101" s="281"/>
      <c r="H101" s="281"/>
    </row>
    <row r="102" spans="1:8">
      <c r="D102" s="281"/>
      <c r="E102" s="281"/>
      <c r="F102" s="281"/>
      <c r="G102" s="281"/>
      <c r="H102" s="281"/>
    </row>
    <row r="103" spans="1:8">
      <c r="D103" s="281"/>
      <c r="E103" s="281"/>
      <c r="F103" s="281"/>
      <c r="G103" s="281"/>
      <c r="H103" s="281"/>
    </row>
    <row r="104" spans="1:8">
      <c r="D104" s="281"/>
      <c r="E104" s="281"/>
      <c r="F104" s="281"/>
      <c r="G104" s="281"/>
      <c r="H104" s="281"/>
    </row>
    <row r="105" spans="1:8">
      <c r="D105" s="281"/>
      <c r="E105" s="281"/>
      <c r="F105" s="281"/>
      <c r="G105" s="281"/>
      <c r="H105" s="281"/>
    </row>
    <row r="106" spans="1:8">
      <c r="D106" s="281"/>
      <c r="E106" s="281"/>
      <c r="F106" s="281"/>
      <c r="G106" s="281"/>
      <c r="H106" s="281"/>
    </row>
    <row r="107" spans="1:8">
      <c r="D107" s="281"/>
      <c r="E107" s="281"/>
      <c r="F107" s="281"/>
      <c r="G107" s="281"/>
      <c r="H107" s="281"/>
    </row>
    <row r="110" spans="1:8">
      <c r="E110" s="281"/>
      <c r="F110" s="281"/>
      <c r="G110" s="281"/>
      <c r="H110" s="281"/>
    </row>
    <row r="111" spans="1:8">
      <c r="E111" s="281"/>
      <c r="F111" s="281"/>
      <c r="G111" s="281"/>
      <c r="H111" s="281"/>
    </row>
    <row r="117" spans="1:8">
      <c r="A117" s="317"/>
      <c r="E117" s="281"/>
      <c r="F117" s="281"/>
      <c r="G117" s="281"/>
      <c r="H117" s="281"/>
    </row>
    <row r="118" spans="1:8">
      <c r="A118" s="320"/>
      <c r="E118" s="281"/>
      <c r="F118" s="281"/>
      <c r="G118" s="281"/>
      <c r="H118" s="281"/>
    </row>
    <row r="119" spans="1:8">
      <c r="E119" s="281"/>
      <c r="F119" s="281"/>
      <c r="G119" s="281"/>
      <c r="H119" s="281"/>
    </row>
    <row r="120" spans="1:8">
      <c r="E120" s="281"/>
      <c r="F120" s="281"/>
      <c r="G120" s="281"/>
      <c r="H120" s="281"/>
    </row>
    <row r="121" spans="1:8">
      <c r="E121" s="281"/>
      <c r="F121" s="281"/>
      <c r="G121" s="281"/>
      <c r="H121" s="281"/>
    </row>
    <row r="122" spans="1:8">
      <c r="E122" s="281"/>
      <c r="F122" s="281"/>
      <c r="G122" s="281"/>
      <c r="H122" s="281"/>
    </row>
    <row r="123" spans="1:8">
      <c r="E123" s="281"/>
      <c r="F123" s="281"/>
      <c r="G123" s="281"/>
      <c r="H123" s="281"/>
    </row>
    <row r="124" spans="1:8">
      <c r="E124" s="281"/>
      <c r="F124" s="281"/>
      <c r="G124" s="281"/>
      <c r="H124" s="281"/>
    </row>
    <row r="125" spans="1:8">
      <c r="E125" s="281"/>
      <c r="F125" s="281"/>
      <c r="G125" s="281"/>
      <c r="H125" s="281"/>
    </row>
    <row r="126" spans="1:8">
      <c r="E126" s="281"/>
      <c r="F126" s="281"/>
      <c r="G126" s="281"/>
      <c r="H126" s="281"/>
    </row>
    <row r="127" spans="1:8">
      <c r="E127" s="281"/>
      <c r="F127" s="281"/>
      <c r="G127" s="281"/>
      <c r="H127" s="281"/>
    </row>
    <row r="128" spans="1:8">
      <c r="E128" s="281"/>
      <c r="F128" s="281"/>
      <c r="G128" s="281"/>
      <c r="H128" s="281"/>
    </row>
    <row r="165" spans="1:8">
      <c r="G165" s="281"/>
      <c r="H165" s="281"/>
    </row>
    <row r="166" spans="1:8">
      <c r="G166" s="281"/>
      <c r="H166" s="281"/>
    </row>
    <row r="167" spans="1:8">
      <c r="G167" s="281"/>
      <c r="H167" s="281"/>
    </row>
    <row r="168" spans="1:8">
      <c r="G168" s="281"/>
      <c r="H168" s="281"/>
    </row>
    <row r="169" spans="1:8">
      <c r="G169" s="281"/>
      <c r="H169" s="281"/>
    </row>
    <row r="170" spans="1:8">
      <c r="G170" s="281"/>
      <c r="H170" s="281"/>
    </row>
    <row r="171" spans="1:8">
      <c r="G171" s="281"/>
      <c r="H171" s="281"/>
    </row>
    <row r="176" spans="1:8">
      <c r="A176" s="320"/>
    </row>
  </sheetData>
  <mergeCells count="12">
    <mergeCell ref="I10:K10"/>
    <mergeCell ref="H3:H4"/>
    <mergeCell ref="C27:D27"/>
    <mergeCell ref="F27:H27"/>
    <mergeCell ref="C28:D28"/>
    <mergeCell ref="F28:H28"/>
    <mergeCell ref="A1:H1"/>
    <mergeCell ref="A3:A4"/>
    <mergeCell ref="B3:B4"/>
    <mergeCell ref="C3:C4"/>
    <mergeCell ref="D3:E3"/>
    <mergeCell ref="F3:G3"/>
  </mergeCells>
  <phoneticPr fontId="3" type="noConversion"/>
  <pageMargins left="0.78740157480314965" right="0.39370078740157483" top="0.78740157480314965" bottom="0.78740157480314965" header="0.51181102362204722" footer="0.31496062992125984"/>
  <pageSetup paperSize="9" scale="42" orientation="landscape" r:id="rId1"/>
  <headerFooter alignWithMargins="0">
    <oddHeader>&amp;C&amp;"Times New Roman,обычный"&amp;14
&amp;18 &amp;14 12&amp;R
&amp;"Times New Roman,обычный"&amp;14Продовження додатка 3
Таблиця  5</oddHeader>
  </headerFooter>
  <ignoredErrors>
    <ignoredError sqref="D19 D15 D18 D17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3"/>
  </sheetPr>
  <dimension ref="A1:BB176"/>
  <sheetViews>
    <sheetView topLeftCell="A64" zoomScale="60" zoomScaleNormal="60" workbookViewId="0">
      <selection activeCell="J107" sqref="J107:J113"/>
    </sheetView>
  </sheetViews>
  <sheetFormatPr defaultRowHeight="18.75"/>
  <cols>
    <col min="1" max="1" width="49.5703125" style="2" customWidth="1"/>
    <col min="2" max="2" width="13.5703125" style="21" customWidth="1"/>
    <col min="3" max="3" width="18.5703125" style="2" customWidth="1"/>
    <col min="4" max="4" width="16.140625" style="2" customWidth="1"/>
    <col min="5" max="5" width="15.42578125" style="2" customWidth="1"/>
    <col min="6" max="6" width="16.5703125" style="2" customWidth="1"/>
    <col min="7" max="7" width="15.28515625" style="2" customWidth="1"/>
    <col min="8" max="8" width="16.5703125" style="2" customWidth="1"/>
    <col min="9" max="9" width="16.140625" style="2" customWidth="1"/>
    <col min="10" max="10" width="16.42578125" style="2" customWidth="1"/>
    <col min="11" max="11" width="16.5703125" style="2" customWidth="1"/>
    <col min="12" max="12" width="16.85546875" style="2" customWidth="1"/>
    <col min="13" max="15" width="16.7109375" style="2" customWidth="1"/>
    <col min="16" max="16384" width="9.140625" style="2"/>
  </cols>
  <sheetData>
    <row r="1" spans="1:15">
      <c r="A1" s="475" t="s">
        <v>102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</row>
    <row r="2" spans="1:15">
      <c r="A2" s="475" t="s">
        <v>485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475"/>
      <c r="O2" s="475"/>
    </row>
    <row r="3" spans="1:15">
      <c r="A3" s="371" t="s">
        <v>66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</row>
    <row r="4" spans="1:15">
      <c r="A4" s="476" t="s">
        <v>113</v>
      </c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6"/>
      <c r="N4" s="476"/>
      <c r="O4" s="476"/>
    </row>
    <row r="5" spans="1:15" ht="21" customHeight="1">
      <c r="A5" s="477" t="s">
        <v>449</v>
      </c>
      <c r="B5" s="477"/>
      <c r="C5" s="477"/>
      <c r="D5" s="477"/>
      <c r="E5" s="477"/>
      <c r="F5" s="477"/>
      <c r="G5" s="477"/>
      <c r="H5" s="477"/>
      <c r="I5" s="477"/>
      <c r="J5" s="477"/>
      <c r="K5" s="477"/>
      <c r="L5" s="477"/>
      <c r="M5" s="477"/>
      <c r="N5" s="477"/>
      <c r="O5" s="477"/>
    </row>
    <row r="6" spans="1:15" ht="9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>
      <c r="A7" s="478" t="s">
        <v>208</v>
      </c>
      <c r="B7" s="478"/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</row>
    <row r="8" spans="1:15" ht="7.5" customHeight="1">
      <c r="B8" s="2"/>
    </row>
    <row r="9" spans="1:15" s="3" customFormat="1" ht="53.25" customHeight="1">
      <c r="A9" s="373" t="s">
        <v>189</v>
      </c>
      <c r="B9" s="373"/>
      <c r="C9" s="419" t="s">
        <v>322</v>
      </c>
      <c r="D9" s="419"/>
      <c r="E9" s="420"/>
      <c r="F9" s="418" t="s">
        <v>323</v>
      </c>
      <c r="G9" s="419"/>
      <c r="H9" s="420"/>
      <c r="I9" s="373" t="s">
        <v>324</v>
      </c>
      <c r="J9" s="373"/>
      <c r="K9" s="373"/>
      <c r="L9" s="373" t="s">
        <v>444</v>
      </c>
      <c r="M9" s="373"/>
      <c r="N9" s="418" t="s">
        <v>445</v>
      </c>
      <c r="O9" s="420"/>
    </row>
    <row r="10" spans="1:15" s="3" customFormat="1" ht="17.25" customHeight="1">
      <c r="A10" s="418">
        <v>1</v>
      </c>
      <c r="B10" s="420"/>
      <c r="C10" s="418">
        <v>2</v>
      </c>
      <c r="D10" s="419"/>
      <c r="E10" s="420"/>
      <c r="F10" s="418">
        <v>3</v>
      </c>
      <c r="G10" s="419"/>
      <c r="H10" s="420"/>
      <c r="I10" s="418">
        <v>4</v>
      </c>
      <c r="J10" s="419"/>
      <c r="K10" s="420"/>
      <c r="L10" s="418">
        <v>5</v>
      </c>
      <c r="M10" s="420"/>
      <c r="N10" s="418">
        <v>6</v>
      </c>
      <c r="O10" s="420"/>
    </row>
    <row r="11" spans="1:15" s="3" customFormat="1" ht="74.25" customHeight="1">
      <c r="A11" s="385" t="s">
        <v>440</v>
      </c>
      <c r="B11" s="385"/>
      <c r="C11" s="443">
        <f>SUM(C12:C16)</f>
        <v>0</v>
      </c>
      <c r="D11" s="444"/>
      <c r="E11" s="445"/>
      <c r="F11" s="471">
        <f>SUM(F12:F16)</f>
        <v>495</v>
      </c>
      <c r="G11" s="472"/>
      <c r="H11" s="473"/>
      <c r="I11" s="443">
        <f>SUM(I12:I16)</f>
        <v>486</v>
      </c>
      <c r="J11" s="444"/>
      <c r="K11" s="445"/>
      <c r="L11" s="474">
        <f t="shared" ref="L11:L37" si="0">I11-F11</f>
        <v>-9</v>
      </c>
      <c r="M11" s="474"/>
      <c r="N11" s="431">
        <f t="shared" ref="N11:N17" si="1">(I11/F11)*100</f>
        <v>98.181818181818187</v>
      </c>
      <c r="O11" s="432"/>
    </row>
    <row r="12" spans="1:15" s="3" customFormat="1" ht="20.25" customHeight="1">
      <c r="A12" s="434" t="s">
        <v>405</v>
      </c>
      <c r="B12" s="359"/>
      <c r="C12" s="452"/>
      <c r="D12" s="453"/>
      <c r="E12" s="454"/>
      <c r="F12" s="452"/>
      <c r="G12" s="453"/>
      <c r="H12" s="454"/>
      <c r="I12" s="452"/>
      <c r="J12" s="453"/>
      <c r="K12" s="454"/>
      <c r="L12" s="465">
        <f t="shared" si="0"/>
        <v>0</v>
      </c>
      <c r="M12" s="465"/>
      <c r="N12" s="429" t="e">
        <f t="shared" si="1"/>
        <v>#DIV/0!</v>
      </c>
      <c r="O12" s="430"/>
    </row>
    <row r="13" spans="1:15" s="3" customFormat="1">
      <c r="A13" s="434" t="s">
        <v>414</v>
      </c>
      <c r="B13" s="359"/>
      <c r="C13" s="440"/>
      <c r="D13" s="441"/>
      <c r="E13" s="442"/>
      <c r="F13" s="440"/>
      <c r="G13" s="441"/>
      <c r="H13" s="442"/>
      <c r="I13" s="440"/>
      <c r="J13" s="441"/>
      <c r="K13" s="442"/>
      <c r="L13" s="465">
        <f t="shared" si="0"/>
        <v>0</v>
      </c>
      <c r="M13" s="465"/>
      <c r="N13" s="429" t="e">
        <f t="shared" si="1"/>
        <v>#DIV/0!</v>
      </c>
      <c r="O13" s="430"/>
    </row>
    <row r="14" spans="1:15" s="3" customFormat="1">
      <c r="A14" s="437" t="s">
        <v>423</v>
      </c>
      <c r="B14" s="437"/>
      <c r="C14" s="440"/>
      <c r="D14" s="441"/>
      <c r="E14" s="442"/>
      <c r="F14" s="461">
        <v>1</v>
      </c>
      <c r="G14" s="462"/>
      <c r="H14" s="463"/>
      <c r="I14" s="461">
        <v>1</v>
      </c>
      <c r="J14" s="462"/>
      <c r="K14" s="462"/>
      <c r="L14" s="464">
        <f t="shared" si="0"/>
        <v>0</v>
      </c>
      <c r="M14" s="464"/>
      <c r="N14" s="459">
        <f t="shared" si="1"/>
        <v>100</v>
      </c>
      <c r="O14" s="460"/>
    </row>
    <row r="15" spans="1:15" s="3" customFormat="1" ht="18.75" customHeight="1">
      <c r="A15" s="437" t="s">
        <v>192</v>
      </c>
      <c r="B15" s="437"/>
      <c r="C15" s="440"/>
      <c r="D15" s="441"/>
      <c r="E15" s="442"/>
      <c r="F15" s="461">
        <v>23</v>
      </c>
      <c r="G15" s="462"/>
      <c r="H15" s="463"/>
      <c r="I15" s="461">
        <v>23</v>
      </c>
      <c r="J15" s="462"/>
      <c r="K15" s="463"/>
      <c r="L15" s="464">
        <f t="shared" si="0"/>
        <v>0</v>
      </c>
      <c r="M15" s="464"/>
      <c r="N15" s="459">
        <f t="shared" si="1"/>
        <v>100</v>
      </c>
      <c r="O15" s="460"/>
    </row>
    <row r="16" spans="1:15" s="3" customFormat="1">
      <c r="A16" s="437" t="s">
        <v>193</v>
      </c>
      <c r="B16" s="437"/>
      <c r="C16" s="440"/>
      <c r="D16" s="441"/>
      <c r="E16" s="442"/>
      <c r="F16" s="461">
        <v>471</v>
      </c>
      <c r="G16" s="462"/>
      <c r="H16" s="463"/>
      <c r="I16" s="461">
        <v>462</v>
      </c>
      <c r="J16" s="462"/>
      <c r="K16" s="463"/>
      <c r="L16" s="464">
        <f t="shared" si="0"/>
        <v>-9</v>
      </c>
      <c r="M16" s="464"/>
      <c r="N16" s="459">
        <f t="shared" si="1"/>
        <v>98.089171974522287</v>
      </c>
      <c r="O16" s="460"/>
    </row>
    <row r="17" spans="1:15" s="5" customFormat="1" ht="37.5" customHeight="1">
      <c r="A17" s="438" t="s">
        <v>441</v>
      </c>
      <c r="B17" s="438"/>
      <c r="C17" s="443">
        <f>SUM(C18:C22)</f>
        <v>0</v>
      </c>
      <c r="D17" s="444"/>
      <c r="E17" s="445"/>
      <c r="F17" s="426">
        <f>SUM(F18:H22)</f>
        <v>11685.95</v>
      </c>
      <c r="G17" s="427"/>
      <c r="H17" s="428"/>
      <c r="I17" s="426">
        <f>SUM(I18:I22)</f>
        <v>12409.062</v>
      </c>
      <c r="J17" s="427"/>
      <c r="K17" s="428"/>
      <c r="L17" s="439">
        <f t="shared" si="0"/>
        <v>723.11199999999917</v>
      </c>
      <c r="M17" s="439"/>
      <c r="N17" s="431">
        <f t="shared" si="1"/>
        <v>106.18787518344679</v>
      </c>
      <c r="O17" s="432"/>
    </row>
    <row r="18" spans="1:15" s="3" customFormat="1" ht="21" customHeight="1">
      <c r="A18" s="434" t="s">
        <v>405</v>
      </c>
      <c r="B18" s="359"/>
      <c r="C18" s="540"/>
      <c r="D18" s="541"/>
      <c r="E18" s="542"/>
      <c r="F18" s="383"/>
      <c r="G18" s="383"/>
      <c r="H18" s="383"/>
      <c r="I18" s="446"/>
      <c r="J18" s="447"/>
      <c r="K18" s="448"/>
      <c r="L18" s="433">
        <f t="shared" si="0"/>
        <v>0</v>
      </c>
      <c r="M18" s="433"/>
      <c r="N18" s="429">
        <f>(I18/F20)*100</f>
        <v>0</v>
      </c>
      <c r="O18" s="430"/>
    </row>
    <row r="19" spans="1:15" s="3" customFormat="1" ht="21" customHeight="1">
      <c r="A19" s="434" t="s">
        <v>414</v>
      </c>
      <c r="B19" s="359"/>
      <c r="C19" s="540"/>
      <c r="D19" s="541"/>
      <c r="E19" s="542"/>
      <c r="F19" s="383"/>
      <c r="G19" s="383"/>
      <c r="H19" s="383"/>
      <c r="I19" s="446"/>
      <c r="J19" s="447"/>
      <c r="K19" s="448"/>
      <c r="L19" s="433">
        <f t="shared" si="0"/>
        <v>0</v>
      </c>
      <c r="M19" s="433"/>
      <c r="N19" s="429">
        <f>(I19/F21)*100</f>
        <v>0</v>
      </c>
      <c r="O19" s="430"/>
    </row>
    <row r="20" spans="1:15" s="3" customFormat="1">
      <c r="A20" s="458" t="s">
        <v>423</v>
      </c>
      <c r="B20" s="458"/>
      <c r="C20" s="440"/>
      <c r="D20" s="441"/>
      <c r="E20" s="442"/>
      <c r="F20" s="449">
        <v>111.85</v>
      </c>
      <c r="G20" s="450"/>
      <c r="H20" s="451"/>
      <c r="I20" s="423">
        <v>87.462000000000003</v>
      </c>
      <c r="J20" s="424"/>
      <c r="K20" s="424"/>
      <c r="L20" s="433">
        <f t="shared" si="0"/>
        <v>-24.387999999999991</v>
      </c>
      <c r="M20" s="433"/>
      <c r="N20" s="429">
        <f t="shared" ref="N20:N37" si="2">(I20/F20)*100</f>
        <v>78.195797943674577</v>
      </c>
      <c r="O20" s="430"/>
    </row>
    <row r="21" spans="1:15" s="3" customFormat="1" ht="18.75" customHeight="1">
      <c r="A21" s="437" t="s">
        <v>192</v>
      </c>
      <c r="B21" s="437"/>
      <c r="C21" s="440"/>
      <c r="D21" s="441"/>
      <c r="E21" s="442"/>
      <c r="F21" s="449">
        <v>570.625</v>
      </c>
      <c r="G21" s="450"/>
      <c r="H21" s="451"/>
      <c r="I21" s="423">
        <v>836.1</v>
      </c>
      <c r="J21" s="424"/>
      <c r="K21" s="425"/>
      <c r="L21" s="433">
        <f t="shared" si="0"/>
        <v>265.47500000000002</v>
      </c>
      <c r="M21" s="433"/>
      <c r="N21" s="429">
        <f t="shared" si="2"/>
        <v>146.52354874041623</v>
      </c>
      <c r="O21" s="430"/>
    </row>
    <row r="22" spans="1:15" s="3" customFormat="1">
      <c r="A22" s="437" t="s">
        <v>193</v>
      </c>
      <c r="B22" s="437"/>
      <c r="C22" s="440"/>
      <c r="D22" s="441"/>
      <c r="E22" s="442"/>
      <c r="F22" s="423">
        <v>11003.475</v>
      </c>
      <c r="G22" s="424"/>
      <c r="H22" s="425"/>
      <c r="I22" s="423">
        <v>11485.5</v>
      </c>
      <c r="J22" s="424"/>
      <c r="K22" s="425"/>
      <c r="L22" s="433">
        <f t="shared" si="0"/>
        <v>482.02499999999964</v>
      </c>
      <c r="M22" s="433"/>
      <c r="N22" s="429">
        <f t="shared" si="2"/>
        <v>104.38066156373327</v>
      </c>
      <c r="O22" s="430"/>
    </row>
    <row r="23" spans="1:15" s="3" customFormat="1" ht="36" customHeight="1">
      <c r="A23" s="385" t="s">
        <v>442</v>
      </c>
      <c r="B23" s="385"/>
      <c r="C23" s="443">
        <f>SUM(C24:C28)</f>
        <v>0</v>
      </c>
      <c r="D23" s="444"/>
      <c r="E23" s="445"/>
      <c r="F23" s="426">
        <f>SUM(F24:F28)</f>
        <v>11685.95</v>
      </c>
      <c r="G23" s="427"/>
      <c r="H23" s="428"/>
      <c r="I23" s="426">
        <f>SUM(I24:I28)</f>
        <v>12409.062</v>
      </c>
      <c r="J23" s="427"/>
      <c r="K23" s="428"/>
      <c r="L23" s="439">
        <f t="shared" si="0"/>
        <v>723.11199999999917</v>
      </c>
      <c r="M23" s="439"/>
      <c r="N23" s="431">
        <f t="shared" si="2"/>
        <v>106.18787518344679</v>
      </c>
      <c r="O23" s="432"/>
    </row>
    <row r="24" spans="1:15" s="3" customFormat="1">
      <c r="A24" s="434" t="s">
        <v>405</v>
      </c>
      <c r="B24" s="359"/>
      <c r="C24" s="440"/>
      <c r="D24" s="441"/>
      <c r="E24" s="442"/>
      <c r="F24" s="423"/>
      <c r="G24" s="424"/>
      <c r="H24" s="425"/>
      <c r="I24" s="423"/>
      <c r="J24" s="424"/>
      <c r="K24" s="425"/>
      <c r="L24" s="433">
        <f t="shared" si="0"/>
        <v>0</v>
      </c>
      <c r="M24" s="433"/>
      <c r="N24" s="429" t="e">
        <f t="shared" si="2"/>
        <v>#DIV/0!</v>
      </c>
      <c r="O24" s="430"/>
    </row>
    <row r="25" spans="1:15" s="3" customFormat="1">
      <c r="A25" s="434" t="s">
        <v>414</v>
      </c>
      <c r="B25" s="359"/>
      <c r="C25" s="440"/>
      <c r="D25" s="441"/>
      <c r="E25" s="442"/>
      <c r="F25" s="423"/>
      <c r="G25" s="424"/>
      <c r="H25" s="425"/>
      <c r="I25" s="423"/>
      <c r="J25" s="424"/>
      <c r="K25" s="425"/>
      <c r="L25" s="433">
        <f t="shared" si="0"/>
        <v>0</v>
      </c>
      <c r="M25" s="433"/>
      <c r="N25" s="429" t="e">
        <f t="shared" si="2"/>
        <v>#DIV/0!</v>
      </c>
      <c r="O25" s="430"/>
    </row>
    <row r="26" spans="1:15" s="3" customFormat="1">
      <c r="A26" s="437" t="s">
        <v>423</v>
      </c>
      <c r="B26" s="437"/>
      <c r="C26" s="440"/>
      <c r="D26" s="441"/>
      <c r="E26" s="442"/>
      <c r="F26" s="423">
        <f>447.4/4</f>
        <v>111.85</v>
      </c>
      <c r="G26" s="424"/>
      <c r="H26" s="425"/>
      <c r="I26" s="423">
        <v>87.462000000000003</v>
      </c>
      <c r="J26" s="424"/>
      <c r="K26" s="424"/>
      <c r="L26" s="433">
        <f t="shared" si="0"/>
        <v>-24.387999999999991</v>
      </c>
      <c r="M26" s="433"/>
      <c r="N26" s="429">
        <f t="shared" si="2"/>
        <v>78.195797943674577</v>
      </c>
      <c r="O26" s="430"/>
    </row>
    <row r="27" spans="1:15" s="3" customFormat="1">
      <c r="A27" s="437" t="s">
        <v>192</v>
      </c>
      <c r="B27" s="437"/>
      <c r="C27" s="440"/>
      <c r="D27" s="441"/>
      <c r="E27" s="442"/>
      <c r="F27" s="423">
        <f>2282.5/4</f>
        <v>570.625</v>
      </c>
      <c r="G27" s="424"/>
      <c r="H27" s="425"/>
      <c r="I27" s="423">
        <v>836.1</v>
      </c>
      <c r="J27" s="424"/>
      <c r="K27" s="425"/>
      <c r="L27" s="433">
        <f t="shared" si="0"/>
        <v>265.47500000000002</v>
      </c>
      <c r="M27" s="433"/>
      <c r="N27" s="429">
        <f t="shared" si="2"/>
        <v>146.52354874041623</v>
      </c>
      <c r="O27" s="430"/>
    </row>
    <row r="28" spans="1:15" s="3" customFormat="1">
      <c r="A28" s="437" t="s">
        <v>193</v>
      </c>
      <c r="B28" s="437"/>
      <c r="C28" s="440"/>
      <c r="D28" s="441"/>
      <c r="E28" s="442"/>
      <c r="F28" s="423">
        <f>44013.9/4</f>
        <v>11003.475</v>
      </c>
      <c r="G28" s="424"/>
      <c r="H28" s="425"/>
      <c r="I28" s="423">
        <v>11485.5</v>
      </c>
      <c r="J28" s="424"/>
      <c r="K28" s="425"/>
      <c r="L28" s="433">
        <f t="shared" si="0"/>
        <v>482.02499999999964</v>
      </c>
      <c r="M28" s="433"/>
      <c r="N28" s="429">
        <f t="shared" si="2"/>
        <v>104.38066156373327</v>
      </c>
      <c r="O28" s="430"/>
    </row>
    <row r="29" spans="1:15" s="3" customFormat="1" ht="56.25" customHeight="1">
      <c r="A29" s="385" t="s">
        <v>443</v>
      </c>
      <c r="B29" s="385"/>
      <c r="C29" s="426" t="e">
        <f>(C23/C11)/3*1000</f>
        <v>#DIV/0!</v>
      </c>
      <c r="D29" s="427"/>
      <c r="E29" s="428"/>
      <c r="F29" s="426">
        <f>(F23/F11)/3*1000</f>
        <v>7869.3265993265986</v>
      </c>
      <c r="G29" s="427"/>
      <c r="H29" s="428"/>
      <c r="I29" s="426">
        <f>(I23/I11)/3*1000</f>
        <v>8511.01646090535</v>
      </c>
      <c r="J29" s="427"/>
      <c r="K29" s="428"/>
      <c r="L29" s="439">
        <f t="shared" si="0"/>
        <v>641.68986157875133</v>
      </c>
      <c r="M29" s="439"/>
      <c r="N29" s="431">
        <f t="shared" si="2"/>
        <v>108.15431731647361</v>
      </c>
      <c r="O29" s="432"/>
    </row>
    <row r="30" spans="1:15" s="3" customFormat="1" ht="18.75" customHeight="1">
      <c r="A30" s="435" t="s">
        <v>421</v>
      </c>
      <c r="B30" s="436"/>
      <c r="C30" s="455" t="e">
        <f>(C24/C12)/3*1000</f>
        <v>#DIV/0!</v>
      </c>
      <c r="D30" s="456"/>
      <c r="E30" s="457"/>
      <c r="F30" s="455" t="e">
        <f>(F24/F12)/3*1000</f>
        <v>#DIV/0!</v>
      </c>
      <c r="G30" s="456"/>
      <c r="H30" s="457"/>
      <c r="I30" s="455" t="e">
        <f>(I24/I12)/3*1000</f>
        <v>#DIV/0!</v>
      </c>
      <c r="J30" s="456"/>
      <c r="K30" s="457"/>
      <c r="L30" s="433" t="e">
        <f t="shared" si="0"/>
        <v>#DIV/0!</v>
      </c>
      <c r="M30" s="433"/>
      <c r="N30" s="429" t="e">
        <f t="shared" si="2"/>
        <v>#DIV/0!</v>
      </c>
      <c r="O30" s="430"/>
    </row>
    <row r="31" spans="1:15" s="3" customFormat="1" ht="18.75" customHeight="1">
      <c r="A31" s="435" t="s">
        <v>422</v>
      </c>
      <c r="B31" s="436"/>
      <c r="C31" s="455" t="e">
        <f>(C25/C13)/3*1000</f>
        <v>#DIV/0!</v>
      </c>
      <c r="D31" s="456"/>
      <c r="E31" s="457"/>
      <c r="F31" s="455" t="e">
        <f>(F25/F13)/3*1000</f>
        <v>#DIV/0!</v>
      </c>
      <c r="G31" s="456"/>
      <c r="H31" s="457"/>
      <c r="I31" s="455" t="e">
        <f>(I25/I13)/3*1000</f>
        <v>#DIV/0!</v>
      </c>
      <c r="J31" s="456"/>
      <c r="K31" s="457"/>
      <c r="L31" s="433" t="e">
        <f t="shared" si="0"/>
        <v>#DIV/0!</v>
      </c>
      <c r="M31" s="433"/>
      <c r="N31" s="429" t="e">
        <f t="shared" si="2"/>
        <v>#DIV/0!</v>
      </c>
      <c r="O31" s="430"/>
    </row>
    <row r="32" spans="1:15" s="3" customFormat="1">
      <c r="A32" s="469" t="s">
        <v>426</v>
      </c>
      <c r="B32" s="470"/>
      <c r="C32" s="455" t="e">
        <f>(C26/C14)/3*1000</f>
        <v>#DIV/0!</v>
      </c>
      <c r="D32" s="456"/>
      <c r="E32" s="457"/>
      <c r="F32" s="455">
        <f>(F26/F14)/3*1000</f>
        <v>37283.333333333328</v>
      </c>
      <c r="G32" s="456"/>
      <c r="H32" s="457"/>
      <c r="I32" s="455">
        <f>(I26/I14)/3*1000</f>
        <v>29154</v>
      </c>
      <c r="J32" s="456"/>
      <c r="K32" s="457"/>
      <c r="L32" s="433">
        <f t="shared" si="0"/>
        <v>-8129.3333333333285</v>
      </c>
      <c r="M32" s="433"/>
      <c r="N32" s="429">
        <f t="shared" si="2"/>
        <v>78.195797943674577</v>
      </c>
      <c r="O32" s="430"/>
    </row>
    <row r="33" spans="1:54" s="188" customFormat="1" ht="18.75" customHeight="1">
      <c r="A33" s="467" t="s">
        <v>450</v>
      </c>
      <c r="B33" s="468"/>
      <c r="C33" s="489"/>
      <c r="D33" s="490"/>
      <c r="E33" s="491"/>
      <c r="F33" s="489">
        <v>29154</v>
      </c>
      <c r="G33" s="490"/>
      <c r="H33" s="491"/>
      <c r="I33" s="489">
        <v>29154</v>
      </c>
      <c r="J33" s="490"/>
      <c r="K33" s="491"/>
      <c r="L33" s="488">
        <f t="shared" si="0"/>
        <v>0</v>
      </c>
      <c r="M33" s="488"/>
      <c r="N33" s="529">
        <f t="shared" si="2"/>
        <v>100</v>
      </c>
      <c r="O33" s="530"/>
    </row>
    <row r="34" spans="1:54" s="188" customFormat="1">
      <c r="A34" s="467" t="s">
        <v>451</v>
      </c>
      <c r="B34" s="468"/>
      <c r="C34" s="489"/>
      <c r="D34" s="493"/>
      <c r="E34" s="494"/>
      <c r="F34" s="492"/>
      <c r="G34" s="493"/>
      <c r="H34" s="494"/>
      <c r="I34" s="489"/>
      <c r="J34" s="490"/>
      <c r="K34" s="491"/>
      <c r="L34" s="488">
        <f t="shared" si="0"/>
        <v>0</v>
      </c>
      <c r="M34" s="488"/>
      <c r="N34" s="529" t="e">
        <f t="shared" si="2"/>
        <v>#DIV/0!</v>
      </c>
      <c r="O34" s="530"/>
      <c r="BB34" s="188">
        <v>0</v>
      </c>
    </row>
    <row r="35" spans="1:54" s="188" customFormat="1" ht="18.75" customHeight="1">
      <c r="A35" s="467" t="s">
        <v>452</v>
      </c>
      <c r="B35" s="468"/>
      <c r="C35" s="489"/>
      <c r="D35" s="493"/>
      <c r="E35" s="494"/>
      <c r="F35" s="492">
        <v>8129.3</v>
      </c>
      <c r="G35" s="493"/>
      <c r="H35" s="494"/>
      <c r="I35" s="489"/>
      <c r="J35" s="490"/>
      <c r="K35" s="491"/>
      <c r="L35" s="488">
        <f t="shared" si="0"/>
        <v>-8129.3</v>
      </c>
      <c r="M35" s="488"/>
      <c r="N35" s="529">
        <f t="shared" si="2"/>
        <v>0</v>
      </c>
      <c r="O35" s="530"/>
    </row>
    <row r="36" spans="1:54" s="3" customFormat="1" ht="18.75" customHeight="1">
      <c r="A36" s="466" t="s">
        <v>425</v>
      </c>
      <c r="B36" s="466"/>
      <c r="C36" s="455" t="e">
        <f>(C27/C15)/3*1000</f>
        <v>#DIV/0!</v>
      </c>
      <c r="D36" s="496"/>
      <c r="E36" s="497"/>
      <c r="F36" s="495">
        <f>(F27/F15)/3*1000</f>
        <v>8269.927536231884</v>
      </c>
      <c r="G36" s="496"/>
      <c r="H36" s="497"/>
      <c r="I36" s="455">
        <f>(I27/I15)/3*1000</f>
        <v>12117.391304347826</v>
      </c>
      <c r="J36" s="456"/>
      <c r="K36" s="457"/>
      <c r="L36" s="433">
        <f t="shared" si="0"/>
        <v>3847.463768115942</v>
      </c>
      <c r="M36" s="433"/>
      <c r="N36" s="429">
        <f t="shared" si="2"/>
        <v>146.52354874041623</v>
      </c>
      <c r="O36" s="430"/>
    </row>
    <row r="37" spans="1:54" s="3" customFormat="1">
      <c r="A37" s="466" t="s">
        <v>424</v>
      </c>
      <c r="B37" s="466"/>
      <c r="C37" s="455" t="e">
        <f>(C28/C16)/3*1000</f>
        <v>#DIV/0!</v>
      </c>
      <c r="D37" s="496"/>
      <c r="E37" s="497"/>
      <c r="F37" s="495">
        <f>(F28/F16)/3*1000</f>
        <v>7787.31422505308</v>
      </c>
      <c r="G37" s="496"/>
      <c r="H37" s="497"/>
      <c r="I37" s="455">
        <f>(I28/I16)/3*1000</f>
        <v>8286.7965367965371</v>
      </c>
      <c r="J37" s="456"/>
      <c r="K37" s="457"/>
      <c r="L37" s="433">
        <f t="shared" si="0"/>
        <v>499.4823117434571</v>
      </c>
      <c r="M37" s="433"/>
      <c r="N37" s="429">
        <f t="shared" si="2"/>
        <v>106.41405107471506</v>
      </c>
      <c r="O37" s="430"/>
    </row>
    <row r="38" spans="1:54" s="3" customFormat="1" ht="13.5" customHeight="1">
      <c r="A38" s="28"/>
      <c r="B38" s="28"/>
      <c r="C38" s="28"/>
      <c r="D38" s="278"/>
      <c r="E38" s="278"/>
      <c r="F38" s="278"/>
      <c r="G38" s="278"/>
      <c r="H38" s="278"/>
      <c r="I38" s="108"/>
      <c r="J38" s="108"/>
      <c r="K38" s="108"/>
      <c r="L38" s="108"/>
      <c r="M38" s="108"/>
      <c r="N38" s="111"/>
      <c r="O38" s="111"/>
    </row>
    <row r="39" spans="1:54">
      <c r="A39" s="525" t="s">
        <v>453</v>
      </c>
      <c r="B39" s="525"/>
      <c r="C39" s="525"/>
      <c r="D39" s="526"/>
      <c r="E39" s="526"/>
      <c r="F39" s="526"/>
      <c r="G39" s="526"/>
      <c r="H39" s="526"/>
      <c r="I39" s="525"/>
      <c r="J39" s="525"/>
      <c r="K39" s="525"/>
      <c r="L39" s="525"/>
      <c r="M39" s="525"/>
      <c r="N39" s="525"/>
      <c r="O39" s="525"/>
    </row>
    <row r="40" spans="1:54" ht="11.25" customHeight="1">
      <c r="A40" s="24"/>
      <c r="B40" s="24"/>
      <c r="C40" s="24"/>
      <c r="D40" s="279"/>
      <c r="E40" s="279"/>
      <c r="F40" s="279"/>
      <c r="G40" s="279"/>
      <c r="H40" s="279"/>
      <c r="I40" s="24"/>
    </row>
    <row r="41" spans="1:54" ht="30.75" customHeight="1">
      <c r="A41" s="477" t="s">
        <v>194</v>
      </c>
      <c r="B41" s="477"/>
      <c r="C41" s="477"/>
      <c r="D41" s="532"/>
      <c r="E41" s="532"/>
      <c r="F41" s="532"/>
      <c r="G41" s="532"/>
      <c r="H41" s="532"/>
      <c r="I41" s="477"/>
      <c r="J41" s="477"/>
      <c r="K41" s="477"/>
      <c r="L41" s="477"/>
      <c r="M41" s="477"/>
      <c r="N41" s="477"/>
      <c r="O41" s="477"/>
    </row>
    <row r="42" spans="1:54" ht="12.75" customHeight="1">
      <c r="D42" s="277"/>
      <c r="E42" s="277"/>
      <c r="F42" s="277"/>
      <c r="G42" s="277"/>
      <c r="H42" s="277"/>
    </row>
    <row r="43" spans="1:54" ht="24.95" customHeight="1">
      <c r="A43" s="40" t="s">
        <v>114</v>
      </c>
      <c r="B43" s="421" t="s">
        <v>213</v>
      </c>
      <c r="C43" s="503"/>
      <c r="D43" s="527"/>
      <c r="E43" s="527"/>
      <c r="F43" s="509" t="s">
        <v>75</v>
      </c>
      <c r="G43" s="509"/>
      <c r="H43" s="509"/>
      <c r="I43" s="383"/>
      <c r="J43" s="383"/>
      <c r="K43" s="383"/>
      <c r="L43" s="383"/>
      <c r="M43" s="383"/>
      <c r="N43" s="383"/>
      <c r="O43" s="383"/>
    </row>
    <row r="44" spans="1:54" ht="17.25" customHeight="1">
      <c r="A44" s="40">
        <v>1</v>
      </c>
      <c r="B44" s="421">
        <v>2</v>
      </c>
      <c r="C44" s="503"/>
      <c r="D44" s="527"/>
      <c r="E44" s="527"/>
      <c r="F44" s="482">
        <v>3</v>
      </c>
      <c r="G44" s="483"/>
      <c r="H44" s="483"/>
      <c r="I44" s="483"/>
      <c r="J44" s="483"/>
      <c r="K44" s="483"/>
      <c r="L44" s="483"/>
      <c r="M44" s="483"/>
      <c r="N44" s="483"/>
      <c r="O44" s="484"/>
    </row>
    <row r="45" spans="1:54" ht="20.100000000000001" customHeight="1">
      <c r="A45" s="103"/>
      <c r="B45" s="479"/>
      <c r="C45" s="480"/>
      <c r="D45" s="528"/>
      <c r="E45" s="528"/>
      <c r="F45" s="531"/>
      <c r="G45" s="531"/>
      <c r="H45" s="531"/>
      <c r="I45" s="531"/>
      <c r="J45" s="466"/>
      <c r="K45" s="466"/>
      <c r="L45" s="466"/>
      <c r="M45" s="466"/>
      <c r="N45" s="466"/>
      <c r="O45" s="466"/>
    </row>
    <row r="46" spans="1:54" ht="20.100000000000001" customHeight="1">
      <c r="A46" s="103"/>
      <c r="B46" s="479"/>
      <c r="C46" s="480"/>
      <c r="D46" s="481"/>
      <c r="E46" s="481"/>
      <c r="F46" s="533"/>
      <c r="G46" s="533"/>
      <c r="H46" s="533"/>
      <c r="I46" s="466"/>
      <c r="J46" s="466"/>
      <c r="K46" s="466"/>
      <c r="L46" s="466"/>
      <c r="M46" s="466"/>
      <c r="N46" s="466"/>
      <c r="O46" s="466"/>
    </row>
    <row r="47" spans="1:54" ht="20.100000000000001" customHeight="1">
      <c r="A47" s="267"/>
      <c r="B47" s="479"/>
      <c r="C47" s="480"/>
      <c r="D47" s="481"/>
      <c r="E47" s="481"/>
      <c r="F47" s="533"/>
      <c r="G47" s="533"/>
      <c r="H47" s="533"/>
      <c r="I47" s="466"/>
      <c r="J47" s="466"/>
      <c r="K47" s="466"/>
      <c r="L47" s="466"/>
      <c r="M47" s="466"/>
      <c r="N47" s="466"/>
      <c r="O47" s="466"/>
    </row>
    <row r="48" spans="1:54">
      <c r="A48" s="13"/>
      <c r="B48" s="5"/>
      <c r="C48" s="5"/>
      <c r="D48" s="280"/>
      <c r="E48" s="280"/>
      <c r="F48" s="280"/>
      <c r="G48" s="280"/>
      <c r="H48" s="280"/>
      <c r="I48" s="5"/>
      <c r="J48" s="5"/>
    </row>
    <row r="49" spans="1:15">
      <c r="A49" s="20"/>
      <c r="D49" s="277"/>
      <c r="E49" s="277"/>
      <c r="F49" s="277"/>
      <c r="G49" s="277"/>
      <c r="H49" s="277"/>
    </row>
    <row r="50" spans="1:15" ht="52.5" customHeight="1">
      <c r="A50" s="534" t="s">
        <v>260</v>
      </c>
      <c r="B50" s="535"/>
      <c r="C50" s="536"/>
      <c r="D50" s="485" t="s">
        <v>160</v>
      </c>
      <c r="E50" s="485"/>
      <c r="F50" s="485"/>
      <c r="G50" s="485" t="s">
        <v>156</v>
      </c>
      <c r="H50" s="485"/>
      <c r="I50" s="373"/>
      <c r="J50" s="373" t="s">
        <v>190</v>
      </c>
      <c r="K50" s="373"/>
      <c r="L50" s="373"/>
      <c r="M50" s="418" t="s">
        <v>191</v>
      </c>
      <c r="N50" s="419"/>
      <c r="O50" s="420"/>
    </row>
    <row r="51" spans="1:15" ht="155.25" customHeight="1">
      <c r="A51" s="537"/>
      <c r="B51" s="538"/>
      <c r="C51" s="539"/>
      <c r="D51" s="209" t="s">
        <v>376</v>
      </c>
      <c r="E51" s="209" t="s">
        <v>206</v>
      </c>
      <c r="F51" s="209" t="s">
        <v>377</v>
      </c>
      <c r="G51" s="209" t="s">
        <v>376</v>
      </c>
      <c r="H51" s="209" t="s">
        <v>206</v>
      </c>
      <c r="I51" s="7" t="s">
        <v>377</v>
      </c>
      <c r="J51" s="7" t="s">
        <v>376</v>
      </c>
      <c r="K51" s="7" t="s">
        <v>206</v>
      </c>
      <c r="L51" s="7" t="s">
        <v>377</v>
      </c>
      <c r="M51" s="120" t="s">
        <v>161</v>
      </c>
      <c r="N51" s="120" t="s">
        <v>162</v>
      </c>
      <c r="O51" s="120" t="s">
        <v>224</v>
      </c>
    </row>
    <row r="52" spans="1:15">
      <c r="A52" s="418">
        <v>1</v>
      </c>
      <c r="B52" s="419"/>
      <c r="C52" s="420"/>
      <c r="D52" s="7">
        <v>2</v>
      </c>
      <c r="E52" s="7">
        <v>3</v>
      </c>
      <c r="F52" s="7">
        <v>4</v>
      </c>
      <c r="G52" s="7">
        <v>5</v>
      </c>
      <c r="H52" s="6">
        <v>6</v>
      </c>
      <c r="I52" s="6">
        <v>7</v>
      </c>
      <c r="J52" s="6">
        <v>8</v>
      </c>
      <c r="K52" s="6">
        <v>9</v>
      </c>
      <c r="L52" s="6">
        <v>10</v>
      </c>
      <c r="M52" s="6">
        <v>11</v>
      </c>
      <c r="N52" s="6">
        <v>12</v>
      </c>
      <c r="O52" s="6">
        <v>13</v>
      </c>
    </row>
    <row r="53" spans="1:15">
      <c r="A53" s="418"/>
      <c r="B53" s="419"/>
      <c r="C53" s="420"/>
      <c r="D53" s="118"/>
      <c r="E53" s="118"/>
      <c r="F53" s="119"/>
      <c r="G53" s="118"/>
      <c r="H53" s="118"/>
      <c r="I53" s="119"/>
      <c r="J53" s="172">
        <f t="shared" ref="J53:L56" si="3">G53-D53</f>
        <v>0</v>
      </c>
      <c r="K53" s="172">
        <f t="shared" si="3"/>
        <v>0</v>
      </c>
      <c r="L53" s="173">
        <f t="shared" si="3"/>
        <v>0</v>
      </c>
      <c r="M53" s="124" t="e">
        <f t="shared" ref="M53:O56" si="4">(G53/D53)*100</f>
        <v>#DIV/0!</v>
      </c>
      <c r="N53" s="124" t="e">
        <f t="shared" si="4"/>
        <v>#DIV/0!</v>
      </c>
      <c r="O53" s="124" t="e">
        <f t="shared" si="4"/>
        <v>#DIV/0!</v>
      </c>
    </row>
    <row r="54" spans="1:15">
      <c r="A54" s="418"/>
      <c r="B54" s="419"/>
      <c r="C54" s="420"/>
      <c r="D54" s="118"/>
      <c r="E54" s="118"/>
      <c r="F54" s="119"/>
      <c r="G54" s="118"/>
      <c r="H54" s="118"/>
      <c r="I54" s="119"/>
      <c r="J54" s="172">
        <f t="shared" si="3"/>
        <v>0</v>
      </c>
      <c r="K54" s="172">
        <f t="shared" si="3"/>
        <v>0</v>
      </c>
      <c r="L54" s="173">
        <f t="shared" si="3"/>
        <v>0</v>
      </c>
      <c r="M54" s="124" t="e">
        <f t="shared" si="4"/>
        <v>#DIV/0!</v>
      </c>
      <c r="N54" s="124" t="e">
        <f t="shared" si="4"/>
        <v>#DIV/0!</v>
      </c>
      <c r="O54" s="124" t="e">
        <f t="shared" si="4"/>
        <v>#DIV/0!</v>
      </c>
    </row>
    <row r="55" spans="1:15" ht="20.100000000000001" customHeight="1">
      <c r="A55" s="434"/>
      <c r="B55" s="358"/>
      <c r="C55" s="359"/>
      <c r="D55" s="118"/>
      <c r="E55" s="118"/>
      <c r="F55" s="119"/>
      <c r="G55" s="118"/>
      <c r="H55" s="118"/>
      <c r="I55" s="119"/>
      <c r="J55" s="172">
        <f t="shared" si="3"/>
        <v>0</v>
      </c>
      <c r="K55" s="172">
        <f t="shared" si="3"/>
        <v>0</v>
      </c>
      <c r="L55" s="173">
        <f t="shared" si="3"/>
        <v>0</v>
      </c>
      <c r="M55" s="124" t="e">
        <f t="shared" si="4"/>
        <v>#DIV/0!</v>
      </c>
      <c r="N55" s="124" t="e">
        <f t="shared" si="4"/>
        <v>#DIV/0!</v>
      </c>
      <c r="O55" s="124" t="e">
        <f t="shared" si="4"/>
        <v>#DIV/0!</v>
      </c>
    </row>
    <row r="56" spans="1:15" ht="20.100000000000001" customHeight="1">
      <c r="A56" s="434"/>
      <c r="B56" s="486"/>
      <c r="C56" s="487"/>
      <c r="D56" s="333"/>
      <c r="E56" s="333"/>
      <c r="F56" s="334"/>
      <c r="G56" s="333"/>
      <c r="H56" s="118"/>
      <c r="I56" s="119"/>
      <c r="J56" s="172">
        <f t="shared" si="3"/>
        <v>0</v>
      </c>
      <c r="K56" s="172">
        <f t="shared" si="3"/>
        <v>0</v>
      </c>
      <c r="L56" s="173">
        <f t="shared" si="3"/>
        <v>0</v>
      </c>
      <c r="M56" s="124" t="e">
        <f t="shared" si="4"/>
        <v>#DIV/0!</v>
      </c>
      <c r="N56" s="124" t="e">
        <f t="shared" si="4"/>
        <v>#DIV/0!</v>
      </c>
      <c r="O56" s="124" t="e">
        <f t="shared" si="4"/>
        <v>#DIV/0!</v>
      </c>
    </row>
    <row r="57" spans="1:15" ht="24.95" customHeight="1">
      <c r="A57" s="498" t="s">
        <v>49</v>
      </c>
      <c r="B57" s="499"/>
      <c r="C57" s="500"/>
      <c r="D57" s="174">
        <f>SUM(D53:D56)</f>
        <v>0</v>
      </c>
      <c r="E57" s="147"/>
      <c r="F57" s="148"/>
      <c r="G57" s="174">
        <f>SUM(G53:G56)</f>
        <v>0</v>
      </c>
      <c r="H57" s="147"/>
      <c r="I57" s="148"/>
      <c r="J57" s="172">
        <f>G57-D57</f>
        <v>0</v>
      </c>
      <c r="K57" s="147"/>
      <c r="L57" s="148"/>
      <c r="M57" s="124" t="e">
        <f>(G57/D57)*100</f>
        <v>#DIV/0!</v>
      </c>
      <c r="N57" s="147"/>
      <c r="O57" s="148"/>
    </row>
    <row r="58" spans="1:15">
      <c r="A58" s="22"/>
      <c r="B58" s="23"/>
      <c r="C58" s="23"/>
      <c r="D58" s="23"/>
      <c r="E58" s="23"/>
      <c r="F58" s="13"/>
      <c r="G58" s="13"/>
      <c r="H58" s="13"/>
      <c r="I58" s="5"/>
      <c r="J58" s="5"/>
      <c r="K58" s="5"/>
      <c r="L58" s="5"/>
      <c r="M58" s="5"/>
      <c r="N58" s="5"/>
      <c r="O58" s="5"/>
    </row>
    <row r="59" spans="1:15">
      <c r="A59" s="477" t="s">
        <v>64</v>
      </c>
      <c r="B59" s="477"/>
      <c r="C59" s="477"/>
      <c r="D59" s="477"/>
      <c r="E59" s="477"/>
      <c r="F59" s="477"/>
      <c r="G59" s="477"/>
      <c r="H59" s="477"/>
      <c r="I59" s="477"/>
      <c r="J59" s="477"/>
      <c r="K59" s="477"/>
      <c r="L59" s="477"/>
      <c r="M59" s="477"/>
      <c r="N59" s="477"/>
      <c r="O59" s="477"/>
    </row>
    <row r="60" spans="1:15">
      <c r="A60" s="20"/>
      <c r="D60" s="277"/>
      <c r="E60" s="277"/>
      <c r="F60" s="277"/>
      <c r="G60" s="277"/>
      <c r="H60" s="277"/>
    </row>
    <row r="61" spans="1:15" ht="56.25" customHeight="1">
      <c r="A61" s="7" t="s">
        <v>105</v>
      </c>
      <c r="B61" s="373" t="s">
        <v>63</v>
      </c>
      <c r="C61" s="373"/>
      <c r="D61" s="485" t="s">
        <v>58</v>
      </c>
      <c r="E61" s="485"/>
      <c r="F61" s="485" t="s">
        <v>59</v>
      </c>
      <c r="G61" s="485"/>
      <c r="H61" s="485" t="s">
        <v>78</v>
      </c>
      <c r="I61" s="373"/>
      <c r="J61" s="373"/>
      <c r="K61" s="418" t="s">
        <v>76</v>
      </c>
      <c r="L61" s="420"/>
      <c r="M61" s="418" t="s">
        <v>31</v>
      </c>
      <c r="N61" s="419"/>
      <c r="O61" s="420"/>
    </row>
    <row r="62" spans="1:15">
      <c r="A62" s="6">
        <v>1</v>
      </c>
      <c r="B62" s="383">
        <v>2</v>
      </c>
      <c r="C62" s="383"/>
      <c r="D62" s="383">
        <v>3</v>
      </c>
      <c r="E62" s="383"/>
      <c r="F62" s="383">
        <v>4</v>
      </c>
      <c r="G62" s="383"/>
      <c r="H62" s="421">
        <v>5</v>
      </c>
      <c r="I62" s="503"/>
      <c r="J62" s="422"/>
      <c r="K62" s="383">
        <v>6</v>
      </c>
      <c r="L62" s="383"/>
      <c r="M62" s="421">
        <v>7</v>
      </c>
      <c r="N62" s="503"/>
      <c r="O62" s="422"/>
    </row>
    <row r="63" spans="1:15">
      <c r="A63" s="96"/>
      <c r="B63" s="466"/>
      <c r="C63" s="466"/>
      <c r="D63" s="485"/>
      <c r="E63" s="485"/>
      <c r="F63" s="485" t="s">
        <v>172</v>
      </c>
      <c r="G63" s="485"/>
      <c r="H63" s="485"/>
      <c r="I63" s="502"/>
      <c r="J63" s="502"/>
      <c r="K63" s="461"/>
      <c r="L63" s="463"/>
      <c r="M63" s="501"/>
      <c r="N63" s="501"/>
      <c r="O63" s="501"/>
    </row>
    <row r="64" spans="1:15">
      <c r="A64" s="96"/>
      <c r="B64" s="435"/>
      <c r="C64" s="436"/>
      <c r="D64" s="504"/>
      <c r="E64" s="505"/>
      <c r="F64" s="504"/>
      <c r="G64" s="505"/>
      <c r="H64" s="504"/>
      <c r="I64" s="513"/>
      <c r="J64" s="514"/>
      <c r="K64" s="461"/>
      <c r="L64" s="463"/>
      <c r="M64" s="510"/>
      <c r="N64" s="511"/>
      <c r="O64" s="512"/>
    </row>
    <row r="65" spans="1:15">
      <c r="A65" s="96"/>
      <c r="B65" s="479"/>
      <c r="C65" s="520"/>
      <c r="D65" s="504"/>
      <c r="E65" s="505"/>
      <c r="F65" s="504"/>
      <c r="G65" s="505"/>
      <c r="H65" s="504"/>
      <c r="I65" s="513"/>
      <c r="J65" s="514"/>
      <c r="K65" s="461"/>
      <c r="L65" s="463"/>
      <c r="M65" s="510"/>
      <c r="N65" s="511"/>
      <c r="O65" s="512"/>
    </row>
    <row r="66" spans="1:15">
      <c r="A66" s="96"/>
      <c r="B66" s="466"/>
      <c r="C66" s="466"/>
      <c r="D66" s="485"/>
      <c r="E66" s="485"/>
      <c r="F66" s="485"/>
      <c r="G66" s="485"/>
      <c r="H66" s="485"/>
      <c r="I66" s="502"/>
      <c r="J66" s="502"/>
      <c r="K66" s="461"/>
      <c r="L66" s="463"/>
      <c r="M66" s="501"/>
      <c r="N66" s="501"/>
      <c r="O66" s="501"/>
    </row>
    <row r="67" spans="1:15">
      <c r="A67" s="121" t="s">
        <v>49</v>
      </c>
      <c r="B67" s="519" t="s">
        <v>32</v>
      </c>
      <c r="C67" s="519"/>
      <c r="D67" s="508" t="s">
        <v>32</v>
      </c>
      <c r="E67" s="508"/>
      <c r="F67" s="508" t="s">
        <v>32</v>
      </c>
      <c r="G67" s="508"/>
      <c r="H67" s="506"/>
      <c r="I67" s="507"/>
      <c r="J67" s="507"/>
      <c r="K67" s="515">
        <f>SUM(K63:L66)</f>
        <v>0</v>
      </c>
      <c r="L67" s="516"/>
      <c r="M67" s="543"/>
      <c r="N67" s="543"/>
      <c r="O67" s="543"/>
    </row>
    <row r="68" spans="1:15">
      <c r="A68" s="13"/>
      <c r="B68" s="25"/>
      <c r="C68" s="25"/>
      <c r="D68" s="282"/>
      <c r="E68" s="282"/>
      <c r="F68" s="282"/>
      <c r="G68" s="282"/>
      <c r="H68" s="282"/>
      <c r="I68" s="25"/>
      <c r="J68" s="25"/>
      <c r="K68" s="3"/>
      <c r="L68" s="3"/>
      <c r="M68" s="3"/>
      <c r="N68" s="3"/>
      <c r="O68" s="3"/>
    </row>
    <row r="69" spans="1:15">
      <c r="A69" s="477" t="s">
        <v>65</v>
      </c>
      <c r="B69" s="477"/>
      <c r="C69" s="477"/>
      <c r="D69" s="532"/>
      <c r="E69" s="532"/>
      <c r="F69" s="532"/>
      <c r="G69" s="532"/>
      <c r="H69" s="532"/>
      <c r="I69" s="477"/>
      <c r="J69" s="477"/>
      <c r="K69" s="477"/>
      <c r="L69" s="477"/>
      <c r="M69" s="477"/>
      <c r="N69" s="477"/>
      <c r="O69" s="477"/>
    </row>
    <row r="70" spans="1:15" ht="15" customHeight="1">
      <c r="A70" s="5"/>
      <c r="B70" s="18"/>
      <c r="C70" s="5"/>
      <c r="D70" s="280"/>
      <c r="E70" s="280"/>
      <c r="F70" s="280"/>
      <c r="G70" s="280"/>
      <c r="H70" s="280"/>
      <c r="I70" s="17"/>
    </row>
    <row r="71" spans="1:15" ht="42.75" customHeight="1">
      <c r="A71" s="373" t="s">
        <v>57</v>
      </c>
      <c r="B71" s="373"/>
      <c r="C71" s="373"/>
      <c r="D71" s="485" t="s">
        <v>163</v>
      </c>
      <c r="E71" s="485"/>
      <c r="F71" s="485" t="s">
        <v>164</v>
      </c>
      <c r="G71" s="485"/>
      <c r="H71" s="485"/>
      <c r="I71" s="373"/>
      <c r="J71" s="373" t="s">
        <v>312</v>
      </c>
      <c r="K71" s="373"/>
      <c r="L71" s="373"/>
      <c r="M71" s="373"/>
      <c r="N71" s="373" t="s">
        <v>167</v>
      </c>
      <c r="O71" s="373"/>
    </row>
    <row r="72" spans="1:15" ht="42.75" customHeight="1">
      <c r="A72" s="373"/>
      <c r="B72" s="373"/>
      <c r="C72" s="373"/>
      <c r="D72" s="485"/>
      <c r="E72" s="485"/>
      <c r="F72" s="509" t="s">
        <v>165</v>
      </c>
      <c r="G72" s="509"/>
      <c r="H72" s="485" t="s">
        <v>166</v>
      </c>
      <c r="I72" s="373"/>
      <c r="J72" s="383" t="s">
        <v>165</v>
      </c>
      <c r="K72" s="383"/>
      <c r="L72" s="373" t="s">
        <v>166</v>
      </c>
      <c r="M72" s="373"/>
      <c r="N72" s="373"/>
      <c r="O72" s="373"/>
    </row>
    <row r="73" spans="1:15">
      <c r="A73" s="373">
        <v>1</v>
      </c>
      <c r="B73" s="373"/>
      <c r="C73" s="373"/>
      <c r="D73" s="421">
        <v>2</v>
      </c>
      <c r="E73" s="422"/>
      <c r="F73" s="421">
        <v>3</v>
      </c>
      <c r="G73" s="422"/>
      <c r="H73" s="421">
        <v>4</v>
      </c>
      <c r="I73" s="422"/>
      <c r="J73" s="421">
        <v>5</v>
      </c>
      <c r="K73" s="422"/>
      <c r="L73" s="421">
        <v>6</v>
      </c>
      <c r="M73" s="422"/>
      <c r="N73" s="421">
        <v>7</v>
      </c>
      <c r="O73" s="422"/>
    </row>
    <row r="74" spans="1:15" ht="20.100000000000001" customHeight="1">
      <c r="A74" s="437" t="s">
        <v>203</v>
      </c>
      <c r="B74" s="437"/>
      <c r="C74" s="437"/>
      <c r="D74" s="517"/>
      <c r="E74" s="518"/>
      <c r="F74" s="517"/>
      <c r="G74" s="518"/>
      <c r="H74" s="517"/>
      <c r="I74" s="518"/>
      <c r="J74" s="517"/>
      <c r="K74" s="518"/>
      <c r="L74" s="461"/>
      <c r="M74" s="463"/>
      <c r="N74" s="521">
        <f>D74+H74-L74</f>
        <v>0</v>
      </c>
      <c r="O74" s="522"/>
    </row>
    <row r="75" spans="1:15" ht="20.100000000000001" customHeight="1">
      <c r="A75" s="437" t="s">
        <v>86</v>
      </c>
      <c r="B75" s="437"/>
      <c r="C75" s="437"/>
      <c r="D75" s="504"/>
      <c r="E75" s="505"/>
      <c r="F75" s="504"/>
      <c r="G75" s="505"/>
      <c r="H75" s="504"/>
      <c r="I75" s="463"/>
      <c r="J75" s="461"/>
      <c r="K75" s="463"/>
      <c r="L75" s="461"/>
      <c r="M75" s="463"/>
      <c r="N75" s="461"/>
      <c r="O75" s="463"/>
    </row>
    <row r="76" spans="1:15" ht="20.100000000000001" customHeight="1">
      <c r="A76" s="437"/>
      <c r="B76" s="437"/>
      <c r="C76" s="437"/>
      <c r="D76" s="504"/>
      <c r="E76" s="505"/>
      <c r="F76" s="504"/>
      <c r="G76" s="505"/>
      <c r="H76" s="504"/>
      <c r="I76" s="463"/>
      <c r="J76" s="461"/>
      <c r="K76" s="463"/>
      <c r="L76" s="461"/>
      <c r="M76" s="463"/>
      <c r="N76" s="461"/>
      <c r="O76" s="463"/>
    </row>
    <row r="77" spans="1:15" ht="20.100000000000001" customHeight="1">
      <c r="A77" s="437" t="s">
        <v>204</v>
      </c>
      <c r="B77" s="437"/>
      <c r="C77" s="437"/>
      <c r="D77" s="504"/>
      <c r="E77" s="505"/>
      <c r="F77" s="504"/>
      <c r="G77" s="505"/>
      <c r="H77" s="504"/>
      <c r="I77" s="463"/>
      <c r="J77" s="461"/>
      <c r="K77" s="463"/>
      <c r="L77" s="461"/>
      <c r="M77" s="463"/>
      <c r="N77" s="521">
        <f>D77+H77-L77</f>
        <v>0</v>
      </c>
      <c r="O77" s="522"/>
    </row>
    <row r="78" spans="1:15" ht="20.100000000000001" customHeight="1">
      <c r="A78" s="437" t="s">
        <v>87</v>
      </c>
      <c r="B78" s="437"/>
      <c r="C78" s="437"/>
      <c r="D78" s="504"/>
      <c r="E78" s="505"/>
      <c r="F78" s="504"/>
      <c r="G78" s="505"/>
      <c r="H78" s="504"/>
      <c r="I78" s="463"/>
      <c r="J78" s="461"/>
      <c r="K78" s="463"/>
      <c r="L78" s="461"/>
      <c r="M78" s="463"/>
      <c r="N78" s="461"/>
      <c r="O78" s="463"/>
    </row>
    <row r="79" spans="1:15" ht="20.100000000000001" customHeight="1">
      <c r="A79" s="437"/>
      <c r="B79" s="437"/>
      <c r="C79" s="437"/>
      <c r="D79" s="504"/>
      <c r="E79" s="505"/>
      <c r="F79" s="504"/>
      <c r="G79" s="505"/>
      <c r="H79" s="504"/>
      <c r="I79" s="463"/>
      <c r="J79" s="461"/>
      <c r="K79" s="463"/>
      <c r="L79" s="461"/>
      <c r="M79" s="463"/>
      <c r="N79" s="461"/>
      <c r="O79" s="463"/>
    </row>
    <row r="80" spans="1:15" ht="20.100000000000001" customHeight="1">
      <c r="A80" s="437" t="s">
        <v>205</v>
      </c>
      <c r="B80" s="437"/>
      <c r="C80" s="437"/>
      <c r="D80" s="461"/>
      <c r="E80" s="463"/>
      <c r="F80" s="461"/>
      <c r="G80" s="463"/>
      <c r="H80" s="461"/>
      <c r="I80" s="463"/>
      <c r="J80" s="461"/>
      <c r="K80" s="463"/>
      <c r="L80" s="461"/>
      <c r="M80" s="463"/>
      <c r="N80" s="521">
        <f>D80+H80-L80</f>
        <v>0</v>
      </c>
      <c r="O80" s="522"/>
    </row>
    <row r="81" spans="1:15" ht="20.100000000000001" customHeight="1">
      <c r="A81" s="437" t="s">
        <v>86</v>
      </c>
      <c r="B81" s="437"/>
      <c r="C81" s="437"/>
      <c r="D81" s="461"/>
      <c r="E81" s="463"/>
      <c r="F81" s="461"/>
      <c r="G81" s="463"/>
      <c r="H81" s="461"/>
      <c r="I81" s="463"/>
      <c r="J81" s="461"/>
      <c r="K81" s="463"/>
      <c r="L81" s="461"/>
      <c r="M81" s="463"/>
      <c r="N81" s="461"/>
      <c r="O81" s="463"/>
    </row>
    <row r="82" spans="1:15" ht="20.100000000000001" customHeight="1">
      <c r="A82" s="437"/>
      <c r="B82" s="437"/>
      <c r="C82" s="437"/>
      <c r="D82" s="461"/>
      <c r="E82" s="463"/>
      <c r="F82" s="461"/>
      <c r="G82" s="463"/>
      <c r="H82" s="461"/>
      <c r="I82" s="463"/>
      <c r="J82" s="461"/>
      <c r="K82" s="463"/>
      <c r="L82" s="461"/>
      <c r="M82" s="463"/>
      <c r="N82" s="461"/>
      <c r="O82" s="463"/>
    </row>
    <row r="83" spans="1:15" ht="24.95" customHeight="1">
      <c r="A83" s="385" t="s">
        <v>49</v>
      </c>
      <c r="B83" s="385"/>
      <c r="C83" s="385"/>
      <c r="D83" s="523">
        <f>SUM(D74,D77,D80)</f>
        <v>0</v>
      </c>
      <c r="E83" s="524"/>
      <c r="F83" s="523">
        <f>SUM(F74,F77,F80)</f>
        <v>0</v>
      </c>
      <c r="G83" s="524"/>
      <c r="H83" s="523">
        <f>SUM(H74,H77,H80)</f>
        <v>0</v>
      </c>
      <c r="I83" s="516"/>
      <c r="J83" s="515">
        <f>SUM(J74,J77,J80)</f>
        <v>0</v>
      </c>
      <c r="K83" s="516"/>
      <c r="L83" s="515">
        <f>SUM(L74,L77,L80)</f>
        <v>0</v>
      </c>
      <c r="M83" s="516"/>
      <c r="N83" s="515">
        <f>D83+H83-L83</f>
        <v>0</v>
      </c>
      <c r="O83" s="516"/>
    </row>
    <row r="84" spans="1:15">
      <c r="C84" s="30"/>
      <c r="D84" s="277"/>
      <c r="E84" s="277"/>
      <c r="F84" s="277"/>
      <c r="G84" s="277"/>
      <c r="H84" s="277"/>
    </row>
    <row r="85" spans="1:15">
      <c r="C85" s="30"/>
      <c r="D85" s="277"/>
      <c r="E85" s="277"/>
      <c r="F85" s="277"/>
      <c r="G85" s="277"/>
      <c r="H85" s="277"/>
    </row>
    <row r="86" spans="1:15">
      <c r="C86" s="30"/>
      <c r="D86" s="277"/>
      <c r="E86" s="277"/>
      <c r="F86" s="277"/>
      <c r="G86" s="277"/>
      <c r="H86" s="277"/>
    </row>
    <row r="87" spans="1:15">
      <c r="C87" s="30"/>
      <c r="D87" s="277"/>
      <c r="E87" s="277"/>
      <c r="F87" s="277"/>
      <c r="G87" s="277"/>
      <c r="H87" s="277"/>
    </row>
    <row r="88" spans="1:15">
      <c r="C88" s="30"/>
      <c r="D88" s="277"/>
      <c r="E88" s="277"/>
      <c r="F88" s="277"/>
      <c r="G88" s="277"/>
      <c r="H88" s="277"/>
    </row>
    <row r="89" spans="1:15">
      <c r="C89" s="30"/>
      <c r="D89" s="277"/>
      <c r="E89" s="277"/>
      <c r="F89" s="277"/>
      <c r="G89" s="277"/>
      <c r="H89" s="277"/>
    </row>
    <row r="90" spans="1:15">
      <c r="C90" s="30"/>
      <c r="D90" s="277"/>
      <c r="E90" s="277"/>
      <c r="F90" s="277"/>
      <c r="G90" s="277"/>
      <c r="H90" s="277"/>
    </row>
    <row r="91" spans="1:15">
      <c r="C91" s="30"/>
      <c r="D91" s="277"/>
      <c r="E91" s="277"/>
      <c r="F91" s="277"/>
      <c r="G91" s="277"/>
      <c r="H91" s="277"/>
    </row>
    <row r="92" spans="1:15">
      <c r="C92" s="30"/>
      <c r="D92" s="277"/>
      <c r="E92" s="277"/>
      <c r="F92" s="277"/>
      <c r="G92" s="277"/>
      <c r="H92" s="277"/>
    </row>
    <row r="93" spans="1:15">
      <c r="C93" s="30"/>
      <c r="D93" s="277"/>
      <c r="E93" s="277"/>
      <c r="F93" s="277"/>
      <c r="G93" s="277"/>
      <c r="H93" s="277"/>
    </row>
    <row r="94" spans="1:15">
      <c r="C94" s="30"/>
      <c r="D94" s="30"/>
      <c r="E94" s="30"/>
    </row>
    <row r="95" spans="1:15">
      <c r="C95" s="30"/>
      <c r="D95" s="277"/>
      <c r="E95" s="277"/>
      <c r="F95" s="277"/>
      <c r="G95" s="277"/>
      <c r="H95" s="277"/>
    </row>
    <row r="96" spans="1:15">
      <c r="A96" s="343" t="s">
        <v>529</v>
      </c>
      <c r="C96" s="30"/>
      <c r="D96" s="277"/>
      <c r="E96" s="277"/>
      <c r="F96" s="277"/>
      <c r="G96" s="277"/>
      <c r="H96" s="368" t="s">
        <v>520</v>
      </c>
      <c r="I96" s="368"/>
      <c r="J96" s="368"/>
    </row>
    <row r="97" spans="1:10">
      <c r="A97" s="4" t="s">
        <v>68</v>
      </c>
      <c r="C97" s="30"/>
      <c r="D97" s="277"/>
      <c r="E97" s="277"/>
      <c r="F97" s="277"/>
      <c r="G97" s="277"/>
      <c r="H97" s="367" t="s">
        <v>85</v>
      </c>
      <c r="I97" s="367"/>
      <c r="J97" s="367"/>
    </row>
    <row r="98" spans="1:10">
      <c r="D98" s="277"/>
      <c r="E98" s="277"/>
      <c r="F98" s="277"/>
      <c r="G98" s="277"/>
      <c r="H98" s="277"/>
    </row>
    <row r="99" spans="1:10">
      <c r="D99" s="277"/>
      <c r="E99" s="277"/>
      <c r="F99" s="277"/>
      <c r="G99" s="277"/>
      <c r="H99" s="277"/>
    </row>
    <row r="100" spans="1:10">
      <c r="D100" s="277"/>
      <c r="E100" s="277"/>
      <c r="F100" s="277"/>
      <c r="G100" s="277"/>
      <c r="H100" s="277"/>
    </row>
    <row r="101" spans="1:10">
      <c r="D101" s="277"/>
      <c r="E101" s="277"/>
      <c r="F101" s="277"/>
      <c r="G101" s="277"/>
      <c r="H101" s="277"/>
    </row>
    <row r="102" spans="1:10">
      <c r="D102" s="277"/>
      <c r="E102" s="277"/>
      <c r="F102" s="277"/>
      <c r="G102" s="277"/>
      <c r="H102" s="277"/>
    </row>
    <row r="103" spans="1:10">
      <c r="D103" s="277"/>
      <c r="E103" s="277"/>
      <c r="F103" s="277"/>
      <c r="G103" s="277"/>
      <c r="H103" s="277"/>
    </row>
    <row r="104" spans="1:10">
      <c r="D104" s="277"/>
      <c r="E104" s="277"/>
      <c r="F104" s="277"/>
      <c r="G104" s="277"/>
      <c r="H104" s="277"/>
    </row>
    <row r="105" spans="1:10">
      <c r="D105" s="277"/>
      <c r="E105" s="277"/>
      <c r="F105" s="277"/>
      <c r="G105" s="277"/>
      <c r="H105" s="277"/>
    </row>
    <row r="106" spans="1:10">
      <c r="D106" s="277"/>
      <c r="E106" s="277"/>
      <c r="F106" s="277"/>
      <c r="G106" s="277"/>
      <c r="H106" s="277"/>
    </row>
    <row r="107" spans="1:10">
      <c r="D107" s="277"/>
      <c r="E107" s="277"/>
      <c r="F107" s="277"/>
      <c r="G107" s="277"/>
      <c r="H107" s="277"/>
    </row>
    <row r="110" spans="1:10">
      <c r="E110" s="277"/>
      <c r="F110" s="277"/>
      <c r="G110" s="277"/>
      <c r="H110" s="277"/>
    </row>
    <row r="111" spans="1:10">
      <c r="E111" s="277"/>
      <c r="F111" s="277"/>
      <c r="G111" s="277"/>
      <c r="H111" s="277"/>
    </row>
    <row r="117" spans="1:8">
      <c r="A117" s="316"/>
      <c r="E117" s="277"/>
      <c r="F117" s="277"/>
      <c r="G117" s="277"/>
      <c r="H117" s="277"/>
    </row>
    <row r="118" spans="1:8">
      <c r="A118" s="4"/>
      <c r="E118" s="277"/>
      <c r="F118" s="277"/>
      <c r="G118" s="277"/>
      <c r="H118" s="277"/>
    </row>
    <row r="119" spans="1:8">
      <c r="E119" s="277"/>
      <c r="F119" s="277"/>
      <c r="G119" s="277"/>
      <c r="H119" s="277"/>
    </row>
    <row r="120" spans="1:8">
      <c r="E120" s="277"/>
      <c r="F120" s="277"/>
      <c r="G120" s="277"/>
      <c r="H120" s="277"/>
    </row>
    <row r="121" spans="1:8">
      <c r="E121" s="277"/>
      <c r="F121" s="277"/>
      <c r="G121" s="277"/>
      <c r="H121" s="277"/>
    </row>
    <row r="122" spans="1:8">
      <c r="E122" s="277"/>
      <c r="F122" s="277"/>
      <c r="G122" s="277"/>
      <c r="H122" s="277"/>
    </row>
    <row r="123" spans="1:8">
      <c r="E123" s="277"/>
      <c r="F123" s="277"/>
      <c r="G123" s="277"/>
      <c r="H123" s="277"/>
    </row>
    <row r="124" spans="1:8">
      <c r="E124" s="277"/>
      <c r="F124" s="277"/>
      <c r="G124" s="277"/>
      <c r="H124" s="277"/>
    </row>
    <row r="125" spans="1:8">
      <c r="E125" s="277"/>
      <c r="F125" s="277"/>
      <c r="G125" s="277"/>
      <c r="H125" s="277"/>
    </row>
    <row r="126" spans="1:8">
      <c r="E126" s="277"/>
      <c r="F126" s="277"/>
      <c r="G126" s="277"/>
      <c r="H126" s="277"/>
    </row>
    <row r="127" spans="1:8">
      <c r="E127" s="277"/>
      <c r="F127" s="277"/>
      <c r="G127" s="277"/>
      <c r="H127" s="277"/>
    </row>
    <row r="128" spans="1:8">
      <c r="E128" s="277"/>
      <c r="F128" s="277"/>
      <c r="G128" s="277"/>
      <c r="H128" s="277"/>
    </row>
    <row r="165" spans="1:8">
      <c r="G165" s="277"/>
      <c r="H165" s="277"/>
    </row>
    <row r="166" spans="1:8">
      <c r="G166" s="277"/>
      <c r="H166" s="277"/>
    </row>
    <row r="167" spans="1:8">
      <c r="G167" s="277"/>
      <c r="H167" s="277"/>
    </row>
    <row r="168" spans="1:8">
      <c r="G168" s="277"/>
      <c r="H168" s="277"/>
    </row>
    <row r="169" spans="1:8">
      <c r="G169" s="277"/>
      <c r="H169" s="277"/>
    </row>
    <row r="170" spans="1:8">
      <c r="G170" s="277"/>
      <c r="H170" s="277"/>
    </row>
    <row r="171" spans="1:8">
      <c r="G171" s="277"/>
      <c r="H171" s="277"/>
    </row>
    <row r="176" spans="1:8">
      <c r="A176" s="4"/>
    </row>
  </sheetData>
  <mergeCells count="335">
    <mergeCell ref="I26:K26"/>
    <mergeCell ref="I24:K24"/>
    <mergeCell ref="H96:J96"/>
    <mergeCell ref="H97:J97"/>
    <mergeCell ref="F34:H34"/>
    <mergeCell ref="F36:H36"/>
    <mergeCell ref="F24:H24"/>
    <mergeCell ref="F25:H25"/>
    <mergeCell ref="L29:M29"/>
    <mergeCell ref="M67:O67"/>
    <mergeCell ref="A69:O69"/>
    <mergeCell ref="N32:O32"/>
    <mergeCell ref="L32:M32"/>
    <mergeCell ref="F32:H32"/>
    <mergeCell ref="C29:E29"/>
    <mergeCell ref="C20:E20"/>
    <mergeCell ref="C21:E21"/>
    <mergeCell ref="F19:H19"/>
    <mergeCell ref="N30:O30"/>
    <mergeCell ref="L25:M25"/>
    <mergeCell ref="F26:H26"/>
    <mergeCell ref="I27:K27"/>
    <mergeCell ref="F27:H27"/>
    <mergeCell ref="L26:M26"/>
    <mergeCell ref="L27:M27"/>
    <mergeCell ref="C32:E32"/>
    <mergeCell ref="I28:K28"/>
    <mergeCell ref="I29:K29"/>
    <mergeCell ref="I30:K30"/>
    <mergeCell ref="N27:O27"/>
    <mergeCell ref="N28:O28"/>
    <mergeCell ref="N29:O29"/>
    <mergeCell ref="I32:K32"/>
    <mergeCell ref="C28:E28"/>
    <mergeCell ref="L28:M28"/>
    <mergeCell ref="C33:E33"/>
    <mergeCell ref="C34:E34"/>
    <mergeCell ref="C35:E35"/>
    <mergeCell ref="A52:C52"/>
    <mergeCell ref="C36:E36"/>
    <mergeCell ref="C37:E37"/>
    <mergeCell ref="A50:C51"/>
    <mergeCell ref="G50:I50"/>
    <mergeCell ref="B61:C61"/>
    <mergeCell ref="A41:O41"/>
    <mergeCell ref="F47:O47"/>
    <mergeCell ref="F46:O46"/>
    <mergeCell ref="A55:C55"/>
    <mergeCell ref="B44:E44"/>
    <mergeCell ref="F61:G61"/>
    <mergeCell ref="D61:E61"/>
    <mergeCell ref="L37:M37"/>
    <mergeCell ref="L34:M34"/>
    <mergeCell ref="I33:K33"/>
    <mergeCell ref="N34:O34"/>
    <mergeCell ref="I34:K34"/>
    <mergeCell ref="I35:K35"/>
    <mergeCell ref="L35:M35"/>
    <mergeCell ref="N35:O35"/>
    <mergeCell ref="I36:K36"/>
    <mergeCell ref="N33:O33"/>
    <mergeCell ref="N83:O83"/>
    <mergeCell ref="J71:M71"/>
    <mergeCell ref="H72:I72"/>
    <mergeCell ref="L72:M72"/>
    <mergeCell ref="J78:K78"/>
    <mergeCell ref="J77:K77"/>
    <mergeCell ref="J72:K72"/>
    <mergeCell ref="L75:M75"/>
    <mergeCell ref="N81:O81"/>
    <mergeCell ref="L78:M78"/>
    <mergeCell ref="H64:J64"/>
    <mergeCell ref="B66:C66"/>
    <mergeCell ref="A39:O39"/>
    <mergeCell ref="F43:O43"/>
    <mergeCell ref="K64:L64"/>
    <mergeCell ref="M64:O64"/>
    <mergeCell ref="B43:E43"/>
    <mergeCell ref="B45:E45"/>
    <mergeCell ref="B46:E46"/>
    <mergeCell ref="F45:O45"/>
    <mergeCell ref="D83:E83"/>
    <mergeCell ref="F83:G83"/>
    <mergeCell ref="H83:I83"/>
    <mergeCell ref="J83:K83"/>
    <mergeCell ref="D82:E82"/>
    <mergeCell ref="F82:G82"/>
    <mergeCell ref="H82:I82"/>
    <mergeCell ref="J82:K82"/>
    <mergeCell ref="N82:O82"/>
    <mergeCell ref="N77:O77"/>
    <mergeCell ref="N78:O78"/>
    <mergeCell ref="N74:O74"/>
    <mergeCell ref="N79:O79"/>
    <mergeCell ref="N80:O80"/>
    <mergeCell ref="N75:O75"/>
    <mergeCell ref="N76:O76"/>
    <mergeCell ref="L79:M79"/>
    <mergeCell ref="L83:M83"/>
    <mergeCell ref="L74:M74"/>
    <mergeCell ref="J81:K81"/>
    <mergeCell ref="J75:K75"/>
    <mergeCell ref="L76:M76"/>
    <mergeCell ref="L77:M77"/>
    <mergeCell ref="L80:M80"/>
    <mergeCell ref="L81:M81"/>
    <mergeCell ref="L82:M82"/>
    <mergeCell ref="J79:K79"/>
    <mergeCell ref="F81:G81"/>
    <mergeCell ref="H81:I81"/>
    <mergeCell ref="J76:K76"/>
    <mergeCell ref="J80:K80"/>
    <mergeCell ref="H80:I80"/>
    <mergeCell ref="H79:I79"/>
    <mergeCell ref="H77:I77"/>
    <mergeCell ref="H78:I78"/>
    <mergeCell ref="F80:G80"/>
    <mergeCell ref="A82:C82"/>
    <mergeCell ref="A77:C77"/>
    <mergeCell ref="D77:E77"/>
    <mergeCell ref="F64:G64"/>
    <mergeCell ref="F65:G65"/>
    <mergeCell ref="B64:C64"/>
    <mergeCell ref="B65:C65"/>
    <mergeCell ref="D65:E65"/>
    <mergeCell ref="D64:E64"/>
    <mergeCell ref="F74:G74"/>
    <mergeCell ref="H74:I74"/>
    <mergeCell ref="L73:M73"/>
    <mergeCell ref="J74:K74"/>
    <mergeCell ref="A74:C74"/>
    <mergeCell ref="B67:C67"/>
    <mergeCell ref="A73:C73"/>
    <mergeCell ref="D74:E74"/>
    <mergeCell ref="N73:O73"/>
    <mergeCell ref="M65:O65"/>
    <mergeCell ref="H65:J65"/>
    <mergeCell ref="N71:O72"/>
    <mergeCell ref="M66:O66"/>
    <mergeCell ref="K66:L66"/>
    <mergeCell ref="K67:L67"/>
    <mergeCell ref="K65:L65"/>
    <mergeCell ref="A83:C83"/>
    <mergeCell ref="D76:E76"/>
    <mergeCell ref="F76:G76"/>
    <mergeCell ref="A81:C81"/>
    <mergeCell ref="D79:E79"/>
    <mergeCell ref="F79:G79"/>
    <mergeCell ref="A80:C80"/>
    <mergeCell ref="D80:E80"/>
    <mergeCell ref="D81:E81"/>
    <mergeCell ref="A78:C78"/>
    <mergeCell ref="A71:C72"/>
    <mergeCell ref="F71:I71"/>
    <mergeCell ref="D66:E66"/>
    <mergeCell ref="F66:G66"/>
    <mergeCell ref="H66:J66"/>
    <mergeCell ref="H67:J67"/>
    <mergeCell ref="D71:E72"/>
    <mergeCell ref="D67:E67"/>
    <mergeCell ref="F67:G67"/>
    <mergeCell ref="F72:G72"/>
    <mergeCell ref="H75:I75"/>
    <mergeCell ref="F78:G78"/>
    <mergeCell ref="D78:E78"/>
    <mergeCell ref="H76:I76"/>
    <mergeCell ref="A79:C79"/>
    <mergeCell ref="D75:E75"/>
    <mergeCell ref="F75:G75"/>
    <mergeCell ref="F77:G77"/>
    <mergeCell ref="A76:C76"/>
    <mergeCell ref="A75:C75"/>
    <mergeCell ref="D63:E63"/>
    <mergeCell ref="D62:E62"/>
    <mergeCell ref="M63:O63"/>
    <mergeCell ref="H63:J63"/>
    <mergeCell ref="H62:J62"/>
    <mergeCell ref="F63:G63"/>
    <mergeCell ref="K63:L63"/>
    <mergeCell ref="K62:L62"/>
    <mergeCell ref="M62:O62"/>
    <mergeCell ref="F37:H37"/>
    <mergeCell ref="N37:O37"/>
    <mergeCell ref="N31:O31"/>
    <mergeCell ref="B62:C62"/>
    <mergeCell ref="F62:G62"/>
    <mergeCell ref="A57:C57"/>
    <mergeCell ref="H61:J61"/>
    <mergeCell ref="K61:L61"/>
    <mergeCell ref="M61:O61"/>
    <mergeCell ref="A59:O59"/>
    <mergeCell ref="L30:M30"/>
    <mergeCell ref="L33:M33"/>
    <mergeCell ref="L36:M36"/>
    <mergeCell ref="F33:H33"/>
    <mergeCell ref="F35:H35"/>
    <mergeCell ref="N36:O36"/>
    <mergeCell ref="L31:M31"/>
    <mergeCell ref="I31:K31"/>
    <mergeCell ref="F31:H31"/>
    <mergeCell ref="F30:H30"/>
    <mergeCell ref="B63:C63"/>
    <mergeCell ref="B47:E47"/>
    <mergeCell ref="A54:C54"/>
    <mergeCell ref="I37:K37"/>
    <mergeCell ref="F44:O44"/>
    <mergeCell ref="J50:L50"/>
    <mergeCell ref="D50:F50"/>
    <mergeCell ref="M50:O50"/>
    <mergeCell ref="A56:C56"/>
    <mergeCell ref="A53:C53"/>
    <mergeCell ref="A1:O1"/>
    <mergeCell ref="A2:O2"/>
    <mergeCell ref="A3:O3"/>
    <mergeCell ref="A4:O4"/>
    <mergeCell ref="L9:M9"/>
    <mergeCell ref="F9:H9"/>
    <mergeCell ref="I9:K9"/>
    <mergeCell ref="A5:O5"/>
    <mergeCell ref="A7:O7"/>
    <mergeCell ref="A32:B32"/>
    <mergeCell ref="N11:O11"/>
    <mergeCell ref="A9:B9"/>
    <mergeCell ref="N9:O9"/>
    <mergeCell ref="C9:E9"/>
    <mergeCell ref="F11:H11"/>
    <mergeCell ref="I10:K10"/>
    <mergeCell ref="I11:K11"/>
    <mergeCell ref="C11:E11"/>
    <mergeCell ref="L11:M11"/>
    <mergeCell ref="L12:M12"/>
    <mergeCell ref="F12:H12"/>
    <mergeCell ref="I12:K12"/>
    <mergeCell ref="L13:M13"/>
    <mergeCell ref="A11:B11"/>
    <mergeCell ref="A37:B37"/>
    <mergeCell ref="A34:B34"/>
    <mergeCell ref="A35:B35"/>
    <mergeCell ref="A36:B36"/>
    <mergeCell ref="A33:B33"/>
    <mergeCell ref="N12:O12"/>
    <mergeCell ref="I17:K17"/>
    <mergeCell ref="I15:K15"/>
    <mergeCell ref="I16:K16"/>
    <mergeCell ref="I14:K14"/>
    <mergeCell ref="I13:K13"/>
    <mergeCell ref="N13:O13"/>
    <mergeCell ref="L15:M15"/>
    <mergeCell ref="L14:M14"/>
    <mergeCell ref="L16:M16"/>
    <mergeCell ref="N15:O15"/>
    <mergeCell ref="L17:M17"/>
    <mergeCell ref="N17:O17"/>
    <mergeCell ref="N16:O16"/>
    <mergeCell ref="N14:O14"/>
    <mergeCell ref="F14:H14"/>
    <mergeCell ref="F15:H15"/>
    <mergeCell ref="F16:H16"/>
    <mergeCell ref="C30:E30"/>
    <mergeCell ref="C15:E15"/>
    <mergeCell ref="A31:B31"/>
    <mergeCell ref="A20:B20"/>
    <mergeCell ref="C14:E14"/>
    <mergeCell ref="C16:E16"/>
    <mergeCell ref="C17:E17"/>
    <mergeCell ref="C31:E31"/>
    <mergeCell ref="C26:E26"/>
    <mergeCell ref="C27:E27"/>
    <mergeCell ref="F18:H18"/>
    <mergeCell ref="F20:H20"/>
    <mergeCell ref="F21:H21"/>
    <mergeCell ref="F22:H22"/>
    <mergeCell ref="C12:E12"/>
    <mergeCell ref="C13:E13"/>
    <mergeCell ref="F13:H13"/>
    <mergeCell ref="F17:H17"/>
    <mergeCell ref="C18:E18"/>
    <mergeCell ref="C19:E19"/>
    <mergeCell ref="L19:M19"/>
    <mergeCell ref="I18:K18"/>
    <mergeCell ref="L21:M21"/>
    <mergeCell ref="N21:O21"/>
    <mergeCell ref="L22:M22"/>
    <mergeCell ref="I21:K21"/>
    <mergeCell ref="I22:K22"/>
    <mergeCell ref="I19:K19"/>
    <mergeCell ref="I20:K20"/>
    <mergeCell ref="L23:M23"/>
    <mergeCell ref="L24:M24"/>
    <mergeCell ref="C22:E22"/>
    <mergeCell ref="N22:O22"/>
    <mergeCell ref="C25:E25"/>
    <mergeCell ref="C24:E24"/>
    <mergeCell ref="C23:E23"/>
    <mergeCell ref="I25:K25"/>
    <mergeCell ref="I23:K23"/>
    <mergeCell ref="F23:H23"/>
    <mergeCell ref="A27:B27"/>
    <mergeCell ref="A22:B22"/>
    <mergeCell ref="A26:B26"/>
    <mergeCell ref="A25:B25"/>
    <mergeCell ref="A23:B23"/>
    <mergeCell ref="A18:B18"/>
    <mergeCell ref="A19:B19"/>
    <mergeCell ref="A21:B21"/>
    <mergeCell ref="A12:B12"/>
    <mergeCell ref="A13:B13"/>
    <mergeCell ref="A30:B30"/>
    <mergeCell ref="A15:B15"/>
    <mergeCell ref="A16:B16"/>
    <mergeCell ref="A14:B14"/>
    <mergeCell ref="A17:B17"/>
    <mergeCell ref="A24:B24"/>
    <mergeCell ref="A29:B29"/>
    <mergeCell ref="A28:B28"/>
    <mergeCell ref="F29:H29"/>
    <mergeCell ref="N18:O18"/>
    <mergeCell ref="N19:O19"/>
    <mergeCell ref="N23:O23"/>
    <mergeCell ref="L18:M18"/>
    <mergeCell ref="N20:O20"/>
    <mergeCell ref="L20:M20"/>
    <mergeCell ref="N26:O26"/>
    <mergeCell ref="N25:O25"/>
    <mergeCell ref="N24:O24"/>
    <mergeCell ref="C10:E10"/>
    <mergeCell ref="A10:B10"/>
    <mergeCell ref="F10:H10"/>
    <mergeCell ref="L10:M10"/>
    <mergeCell ref="N10:O10"/>
    <mergeCell ref="D73:E73"/>
    <mergeCell ref="F73:G73"/>
    <mergeCell ref="H73:I73"/>
    <mergeCell ref="J73:K73"/>
    <mergeCell ref="F28:H28"/>
  </mergeCells>
  <phoneticPr fontId="3" type="noConversion"/>
  <pageMargins left="0.59055118110236227" right="0.59055118110236227" top="0.78740157480314965" bottom="0.78740157480314965" header="0.31496062992125984" footer="0.15748031496062992"/>
  <pageSetup paperSize="9" scale="46" orientation="landscape" horizontalDpi="1200" verticalDpi="1200" r:id="rId1"/>
  <headerFooter alignWithMargins="0">
    <oddHeader xml:space="preserve">&amp;C
&amp;"Times New Roman,обычный"&amp;16 &amp;14 13&amp;R&amp;"Times New Roman,обычный"&amp;14Продовження додатка 3
Таблиця 6  </oddHeader>
  </headerFooter>
  <rowBreaks count="1" manualBreakCount="1">
    <brk id="47" max="14" man="1"/>
  </rowBreaks>
  <ignoredErrors>
    <ignoredError sqref="M53:O53 D29:E29 D37:E37 O11 D36:E36" evalError="1"/>
    <ignoredError sqref="D57:G5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3"/>
  </sheetPr>
  <dimension ref="A1:AF176"/>
  <sheetViews>
    <sheetView topLeftCell="A31" zoomScale="63" zoomScaleNormal="63" zoomScaleSheetLayoutView="44" workbookViewId="0">
      <selection activeCell="A36" sqref="A36:L36"/>
    </sheetView>
  </sheetViews>
  <sheetFormatPr defaultRowHeight="18.75"/>
  <cols>
    <col min="1" max="1" width="7.85546875" style="2" customWidth="1"/>
    <col min="2" max="2" width="4.42578125" style="2" customWidth="1"/>
    <col min="3" max="3" width="25.28515625" style="2" customWidth="1"/>
    <col min="4" max="6" width="8.42578125" style="2" customWidth="1"/>
    <col min="7" max="7" width="10" style="2" customWidth="1"/>
    <col min="8" max="9" width="11.28515625" style="2" customWidth="1"/>
    <col min="10" max="10" width="13" style="2" customWidth="1"/>
    <col min="11" max="11" width="7" style="2" customWidth="1"/>
    <col min="12" max="12" width="9" style="2" customWidth="1"/>
    <col min="13" max="13" width="12.28515625" style="2" customWidth="1"/>
    <col min="14" max="14" width="12.5703125" style="2" customWidth="1"/>
    <col min="15" max="15" width="14.5703125" style="2" customWidth="1"/>
    <col min="16" max="16" width="14" style="2" customWidth="1"/>
    <col min="17" max="17" width="12.5703125" style="2" customWidth="1"/>
    <col min="18" max="18" width="12.28515625" style="2" customWidth="1"/>
    <col min="19" max="19" width="14.5703125" style="2" customWidth="1"/>
    <col min="20" max="20" width="14" style="2" customWidth="1"/>
    <col min="21" max="21" width="12.5703125" style="2" customWidth="1"/>
    <col min="22" max="22" width="12.28515625" style="2" customWidth="1"/>
    <col min="23" max="23" width="14.85546875" style="2" customWidth="1"/>
    <col min="24" max="24" width="14" style="2" customWidth="1"/>
    <col min="25" max="25" width="12.5703125" style="2" customWidth="1"/>
    <col min="26" max="26" width="12.28515625" style="2" customWidth="1"/>
    <col min="27" max="27" width="14.5703125" style="2" customWidth="1"/>
    <col min="28" max="28" width="13.7109375" style="2" customWidth="1"/>
    <col min="29" max="29" width="12.28515625" style="2" customWidth="1"/>
    <col min="30" max="30" width="12" style="2" customWidth="1"/>
    <col min="31" max="31" width="14.5703125" style="2" customWidth="1"/>
    <col min="32" max="32" width="14" style="2" customWidth="1"/>
    <col min="33" max="16384" width="9.140625" style="2"/>
  </cols>
  <sheetData>
    <row r="1" spans="1:32" ht="18.75" customHeight="1">
      <c r="C1" s="43" t="s">
        <v>298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ht="45.75" customHeight="1">
      <c r="A3" s="546" t="s">
        <v>446</v>
      </c>
      <c r="B3" s="567" t="s">
        <v>137</v>
      </c>
      <c r="C3" s="568"/>
      <c r="D3" s="534" t="s">
        <v>138</v>
      </c>
      <c r="E3" s="535"/>
      <c r="F3" s="535"/>
      <c r="G3" s="534" t="s">
        <v>222</v>
      </c>
      <c r="H3" s="535"/>
      <c r="I3" s="535"/>
      <c r="J3" s="535"/>
      <c r="K3" s="535"/>
      <c r="L3" s="535"/>
      <c r="M3" s="535"/>
      <c r="N3" s="535"/>
      <c r="O3" s="535"/>
      <c r="P3" s="535"/>
      <c r="Q3" s="536"/>
      <c r="R3" s="421" t="s">
        <v>139</v>
      </c>
      <c r="S3" s="503"/>
      <c r="T3" s="503"/>
      <c r="U3" s="503"/>
      <c r="V3" s="503"/>
      <c r="W3" s="503"/>
      <c r="X3" s="503"/>
      <c r="Y3" s="503"/>
      <c r="Z3" s="422"/>
      <c r="AA3" s="373" t="s">
        <v>378</v>
      </c>
      <c r="AB3" s="383"/>
      <c r="AC3" s="383"/>
      <c r="AD3" s="373" t="s">
        <v>379</v>
      </c>
      <c r="AE3" s="383"/>
      <c r="AF3" s="383"/>
    </row>
    <row r="4" spans="1:32" ht="77.25" customHeight="1">
      <c r="A4" s="548"/>
      <c r="B4" s="571"/>
      <c r="C4" s="572"/>
      <c r="D4" s="537"/>
      <c r="E4" s="538"/>
      <c r="F4" s="538"/>
      <c r="G4" s="537"/>
      <c r="H4" s="538"/>
      <c r="I4" s="538"/>
      <c r="J4" s="538"/>
      <c r="K4" s="538"/>
      <c r="L4" s="538"/>
      <c r="M4" s="538"/>
      <c r="N4" s="538"/>
      <c r="O4" s="538"/>
      <c r="P4" s="538"/>
      <c r="Q4" s="539"/>
      <c r="R4" s="418" t="s">
        <v>326</v>
      </c>
      <c r="S4" s="419"/>
      <c r="T4" s="420"/>
      <c r="U4" s="418" t="s">
        <v>327</v>
      </c>
      <c r="V4" s="419"/>
      <c r="W4" s="420"/>
      <c r="X4" s="418" t="s">
        <v>328</v>
      </c>
      <c r="Y4" s="419"/>
      <c r="Z4" s="420"/>
      <c r="AA4" s="383"/>
      <c r="AB4" s="383"/>
      <c r="AC4" s="383"/>
      <c r="AD4" s="383"/>
      <c r="AE4" s="383"/>
      <c r="AF4" s="383"/>
    </row>
    <row r="5" spans="1:32" ht="18.75" customHeight="1">
      <c r="A5" s="104">
        <v>1</v>
      </c>
      <c r="B5" s="552">
        <v>2</v>
      </c>
      <c r="C5" s="553"/>
      <c r="D5" s="556">
        <v>3</v>
      </c>
      <c r="E5" s="557"/>
      <c r="F5" s="557"/>
      <c r="G5" s="556">
        <v>4</v>
      </c>
      <c r="H5" s="557"/>
      <c r="I5" s="557"/>
      <c r="J5" s="557"/>
      <c r="K5" s="557"/>
      <c r="L5" s="557"/>
      <c r="M5" s="557"/>
      <c r="N5" s="557"/>
      <c r="O5" s="557"/>
      <c r="P5" s="557"/>
      <c r="Q5" s="558"/>
      <c r="R5" s="556">
        <v>5</v>
      </c>
      <c r="S5" s="557"/>
      <c r="T5" s="558"/>
      <c r="U5" s="556">
        <v>6</v>
      </c>
      <c r="V5" s="557"/>
      <c r="W5" s="558"/>
      <c r="X5" s="590">
        <v>7</v>
      </c>
      <c r="Y5" s="591"/>
      <c r="Z5" s="592"/>
      <c r="AA5" s="590">
        <v>8</v>
      </c>
      <c r="AB5" s="591"/>
      <c r="AC5" s="592"/>
      <c r="AD5" s="590">
        <v>9</v>
      </c>
      <c r="AE5" s="591"/>
      <c r="AF5" s="592"/>
    </row>
    <row r="6" spans="1:32" ht="20.100000000000001" customHeight="1">
      <c r="A6" s="104"/>
      <c r="B6" s="560"/>
      <c r="C6" s="561"/>
      <c r="D6" s="565"/>
      <c r="E6" s="566"/>
      <c r="F6" s="566"/>
      <c r="G6" s="565"/>
      <c r="H6" s="566"/>
      <c r="I6" s="566"/>
      <c r="J6" s="566"/>
      <c r="K6" s="566"/>
      <c r="L6" s="566"/>
      <c r="M6" s="566"/>
      <c r="N6" s="566"/>
      <c r="O6" s="566"/>
      <c r="P6" s="566"/>
      <c r="Q6" s="574"/>
      <c r="R6" s="461"/>
      <c r="S6" s="462"/>
      <c r="T6" s="463"/>
      <c r="U6" s="461"/>
      <c r="V6" s="462"/>
      <c r="W6" s="463"/>
      <c r="X6" s="461"/>
      <c r="Y6" s="462"/>
      <c r="Z6" s="463"/>
      <c r="AA6" s="461">
        <f>X6-U6</f>
        <v>0</v>
      </c>
      <c r="AB6" s="462"/>
      <c r="AC6" s="463"/>
      <c r="AD6" s="449" t="e">
        <f>(X6/U6)*100</f>
        <v>#DIV/0!</v>
      </c>
      <c r="AE6" s="450"/>
      <c r="AF6" s="451"/>
    </row>
    <row r="7" spans="1:32" ht="20.100000000000001" customHeight="1">
      <c r="A7" s="104"/>
      <c r="B7" s="560"/>
      <c r="C7" s="561"/>
      <c r="D7" s="565"/>
      <c r="E7" s="566"/>
      <c r="F7" s="566"/>
      <c r="G7" s="565"/>
      <c r="H7" s="566"/>
      <c r="I7" s="566"/>
      <c r="J7" s="566"/>
      <c r="K7" s="566"/>
      <c r="L7" s="566"/>
      <c r="M7" s="566"/>
      <c r="N7" s="566"/>
      <c r="O7" s="566"/>
      <c r="P7" s="566"/>
      <c r="Q7" s="574"/>
      <c r="R7" s="461"/>
      <c r="S7" s="462"/>
      <c r="T7" s="463"/>
      <c r="U7" s="461"/>
      <c r="V7" s="462"/>
      <c r="W7" s="463"/>
      <c r="X7" s="461"/>
      <c r="Y7" s="462"/>
      <c r="Z7" s="463"/>
      <c r="AA7" s="461">
        <f>X7-U7</f>
        <v>0</v>
      </c>
      <c r="AB7" s="462"/>
      <c r="AC7" s="463"/>
      <c r="AD7" s="449" t="e">
        <f>(X7/U7)*100</f>
        <v>#DIV/0!</v>
      </c>
      <c r="AE7" s="450"/>
      <c r="AF7" s="451"/>
    </row>
    <row r="8" spans="1:32" ht="20.100000000000001" customHeight="1">
      <c r="A8" s="104"/>
      <c r="B8" s="560"/>
      <c r="C8" s="561"/>
      <c r="D8" s="565"/>
      <c r="E8" s="566"/>
      <c r="F8" s="566"/>
      <c r="G8" s="565"/>
      <c r="H8" s="566"/>
      <c r="I8" s="566"/>
      <c r="J8" s="566"/>
      <c r="K8" s="566"/>
      <c r="L8" s="566"/>
      <c r="M8" s="566"/>
      <c r="N8" s="566"/>
      <c r="O8" s="566"/>
      <c r="P8" s="566"/>
      <c r="Q8" s="574"/>
      <c r="R8" s="461"/>
      <c r="S8" s="462"/>
      <c r="T8" s="463"/>
      <c r="U8" s="461"/>
      <c r="V8" s="462"/>
      <c r="W8" s="463"/>
      <c r="X8" s="461"/>
      <c r="Y8" s="462"/>
      <c r="Z8" s="463"/>
      <c r="AA8" s="461">
        <f>X8-U8</f>
        <v>0</v>
      </c>
      <c r="AB8" s="462"/>
      <c r="AC8" s="463"/>
      <c r="AD8" s="449" t="e">
        <f>(X8/U8)*100</f>
        <v>#DIV/0!</v>
      </c>
      <c r="AE8" s="450"/>
      <c r="AF8" s="451"/>
    </row>
    <row r="9" spans="1:32" ht="20.100000000000001" customHeight="1">
      <c r="A9" s="104"/>
      <c r="B9" s="560"/>
      <c r="C9" s="561"/>
      <c r="D9" s="565"/>
      <c r="E9" s="566"/>
      <c r="F9" s="566"/>
      <c r="G9" s="565"/>
      <c r="H9" s="566"/>
      <c r="I9" s="566"/>
      <c r="J9" s="566"/>
      <c r="K9" s="566"/>
      <c r="L9" s="566"/>
      <c r="M9" s="566"/>
      <c r="N9" s="566"/>
      <c r="O9" s="566"/>
      <c r="P9" s="566"/>
      <c r="Q9" s="574"/>
      <c r="R9" s="461"/>
      <c r="S9" s="462"/>
      <c r="T9" s="463"/>
      <c r="U9" s="461"/>
      <c r="V9" s="462"/>
      <c r="W9" s="463"/>
      <c r="X9" s="461"/>
      <c r="Y9" s="462"/>
      <c r="Z9" s="463"/>
      <c r="AA9" s="461">
        <f>X9-U9</f>
        <v>0</v>
      </c>
      <c r="AB9" s="462"/>
      <c r="AC9" s="463"/>
      <c r="AD9" s="449" t="e">
        <f>(X9/U9)*100</f>
        <v>#DIV/0!</v>
      </c>
      <c r="AE9" s="450"/>
      <c r="AF9" s="451"/>
    </row>
    <row r="10" spans="1:32" ht="37.5" customHeight="1">
      <c r="A10" s="544" t="s">
        <v>49</v>
      </c>
      <c r="B10" s="545"/>
      <c r="C10" s="315"/>
      <c r="D10" s="315"/>
      <c r="E10" s="315"/>
      <c r="F10" s="265"/>
      <c r="G10" s="265"/>
      <c r="H10" s="265"/>
      <c r="I10" s="545"/>
      <c r="J10" s="545"/>
      <c r="K10" s="545"/>
      <c r="L10" s="265"/>
      <c r="M10" s="265"/>
      <c r="N10" s="265"/>
      <c r="O10" s="265"/>
      <c r="P10" s="265"/>
      <c r="Q10" s="266"/>
      <c r="R10" s="515">
        <f>SUM(R6:R9)</f>
        <v>0</v>
      </c>
      <c r="S10" s="559"/>
      <c r="T10" s="516"/>
      <c r="U10" s="515">
        <f>SUM(U6:U9)</f>
        <v>0</v>
      </c>
      <c r="V10" s="559"/>
      <c r="W10" s="516"/>
      <c r="X10" s="515">
        <f>SUM(X6:X9)</f>
        <v>0</v>
      </c>
      <c r="Y10" s="559"/>
      <c r="Z10" s="516"/>
      <c r="AA10" s="461">
        <f>X10-U10</f>
        <v>0</v>
      </c>
      <c r="AB10" s="462"/>
      <c r="AC10" s="463"/>
      <c r="AD10" s="449" t="e">
        <f>(X10/U10)*100</f>
        <v>#DIV/0!</v>
      </c>
      <c r="AE10" s="450"/>
      <c r="AF10" s="451"/>
    </row>
    <row r="11" spans="1:32" ht="11.25" customHeight="1">
      <c r="A11" s="24"/>
      <c r="B11" s="24"/>
      <c r="C11" s="24"/>
      <c r="D11" s="24"/>
      <c r="E11" s="24"/>
      <c r="F11" s="252"/>
      <c r="G11" s="24"/>
      <c r="H11" s="24"/>
      <c r="I11" s="24"/>
      <c r="J11" s="24"/>
      <c r="K11" s="24"/>
      <c r="L11" s="24"/>
      <c r="M11" s="24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9"/>
      <c r="AF11" s="109"/>
    </row>
    <row r="12" spans="1:32" ht="10.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6"/>
      <c r="O12" s="36"/>
      <c r="P12" s="36"/>
      <c r="Q12" s="36"/>
      <c r="R12" s="58"/>
      <c r="S12" s="58"/>
      <c r="T12" s="58"/>
      <c r="U12" s="58"/>
      <c r="V12" s="58"/>
      <c r="W12" s="58"/>
      <c r="X12" s="59"/>
      <c r="Y12" s="59"/>
      <c r="Z12" s="59"/>
      <c r="AA12" s="59"/>
      <c r="AB12" s="59"/>
      <c r="AC12" s="59"/>
      <c r="AD12" s="59"/>
      <c r="AE12" s="110"/>
      <c r="AF12" s="110"/>
    </row>
    <row r="13" spans="1:32" s="43" customFormat="1" ht="18.75" customHeight="1">
      <c r="C13" s="43" t="s">
        <v>299</v>
      </c>
    </row>
    <row r="14" spans="1:32" s="43" customFormat="1" ht="18.75" customHeight="1">
      <c r="J14" s="43">
        <f>17941.12-F14-5620-386.21</f>
        <v>11934.91</v>
      </c>
    </row>
    <row r="15" spans="1:32" ht="45.75" customHeight="1">
      <c r="A15" s="546" t="s">
        <v>446</v>
      </c>
      <c r="B15" s="567" t="s">
        <v>140</v>
      </c>
      <c r="C15" s="568"/>
      <c r="D15" s="373" t="s">
        <v>137</v>
      </c>
      <c r="E15" s="373"/>
      <c r="F15" s="373"/>
      <c r="G15" s="373"/>
      <c r="H15" s="534" t="s">
        <v>222</v>
      </c>
      <c r="I15" s="535"/>
      <c r="J15" s="535"/>
      <c r="K15" s="535"/>
      <c r="L15" s="535"/>
      <c r="M15" s="535"/>
      <c r="N15" s="535"/>
      <c r="O15" s="536"/>
      <c r="P15" s="534" t="s">
        <v>325</v>
      </c>
      <c r="Q15" s="536"/>
      <c r="R15" s="421" t="s">
        <v>139</v>
      </c>
      <c r="S15" s="503"/>
      <c r="T15" s="503"/>
      <c r="U15" s="503"/>
      <c r="V15" s="503"/>
      <c r="W15" s="503"/>
      <c r="X15" s="503"/>
      <c r="Y15" s="503"/>
      <c r="Z15" s="422"/>
      <c r="AA15" s="373" t="s">
        <v>378</v>
      </c>
      <c r="AB15" s="383"/>
      <c r="AC15" s="383"/>
      <c r="AD15" s="373" t="s">
        <v>379</v>
      </c>
      <c r="AE15" s="383"/>
      <c r="AF15" s="383"/>
    </row>
    <row r="16" spans="1:32" ht="24.95" customHeight="1">
      <c r="A16" s="547"/>
      <c r="B16" s="569"/>
      <c r="C16" s="570"/>
      <c r="D16" s="373"/>
      <c r="E16" s="373"/>
      <c r="F16" s="373"/>
      <c r="G16" s="373"/>
      <c r="H16" s="579"/>
      <c r="I16" s="580"/>
      <c r="J16" s="580"/>
      <c r="K16" s="580"/>
      <c r="L16" s="580"/>
      <c r="M16" s="580"/>
      <c r="N16" s="580"/>
      <c r="O16" s="581"/>
      <c r="P16" s="579"/>
      <c r="Q16" s="581"/>
      <c r="R16" s="534" t="s">
        <v>326</v>
      </c>
      <c r="S16" s="535"/>
      <c r="T16" s="536"/>
      <c r="U16" s="534" t="s">
        <v>327</v>
      </c>
      <c r="V16" s="535"/>
      <c r="W16" s="536"/>
      <c r="X16" s="534" t="s">
        <v>328</v>
      </c>
      <c r="Y16" s="598"/>
      <c r="Z16" s="599"/>
      <c r="AA16" s="383"/>
      <c r="AB16" s="383"/>
      <c r="AC16" s="383"/>
      <c r="AD16" s="383"/>
      <c r="AE16" s="383"/>
      <c r="AF16" s="383"/>
    </row>
    <row r="17" spans="1:32" ht="48" customHeight="1">
      <c r="A17" s="548"/>
      <c r="B17" s="571"/>
      <c r="C17" s="572"/>
      <c r="D17" s="373"/>
      <c r="E17" s="373"/>
      <c r="F17" s="373"/>
      <c r="G17" s="373"/>
      <c r="H17" s="537"/>
      <c r="I17" s="538"/>
      <c r="J17" s="538"/>
      <c r="K17" s="538"/>
      <c r="L17" s="538"/>
      <c r="M17" s="538"/>
      <c r="N17" s="538"/>
      <c r="O17" s="539"/>
      <c r="P17" s="537"/>
      <c r="Q17" s="539"/>
      <c r="R17" s="537"/>
      <c r="S17" s="538"/>
      <c r="T17" s="539"/>
      <c r="U17" s="537"/>
      <c r="V17" s="538"/>
      <c r="W17" s="539"/>
      <c r="X17" s="600"/>
      <c r="Y17" s="368"/>
      <c r="Z17" s="601"/>
      <c r="AA17" s="383"/>
      <c r="AB17" s="383"/>
      <c r="AC17" s="383"/>
      <c r="AD17" s="383"/>
      <c r="AE17" s="383"/>
      <c r="AF17" s="383"/>
    </row>
    <row r="18" spans="1:32" ht="18.75" customHeight="1">
      <c r="A18" s="66">
        <v>1</v>
      </c>
      <c r="B18" s="552">
        <v>2</v>
      </c>
      <c r="C18" s="553"/>
      <c r="D18" s="593">
        <v>3</v>
      </c>
      <c r="E18" s="593"/>
      <c r="F18" s="593"/>
      <c r="G18" s="593"/>
      <c r="H18" s="556">
        <v>4</v>
      </c>
      <c r="I18" s="557"/>
      <c r="J18" s="557"/>
      <c r="K18" s="557"/>
      <c r="L18" s="557"/>
      <c r="M18" s="557"/>
      <c r="N18" s="557"/>
      <c r="O18" s="558"/>
      <c r="P18" s="556">
        <v>5</v>
      </c>
      <c r="Q18" s="558"/>
      <c r="R18" s="556">
        <v>6</v>
      </c>
      <c r="S18" s="557"/>
      <c r="T18" s="558"/>
      <c r="U18" s="556">
        <v>7</v>
      </c>
      <c r="V18" s="557"/>
      <c r="W18" s="558"/>
      <c r="X18" s="556">
        <v>8</v>
      </c>
      <c r="Y18" s="557"/>
      <c r="Z18" s="558"/>
      <c r="AA18" s="556">
        <v>9</v>
      </c>
      <c r="AB18" s="557"/>
      <c r="AC18" s="558"/>
      <c r="AD18" s="556">
        <v>10</v>
      </c>
      <c r="AE18" s="557"/>
      <c r="AF18" s="558"/>
    </row>
    <row r="19" spans="1:32" ht="20.100000000000001" customHeight="1">
      <c r="A19" s="95"/>
      <c r="B19" s="554"/>
      <c r="C19" s="555"/>
      <c r="D19" s="576"/>
      <c r="E19" s="576"/>
      <c r="F19" s="576"/>
      <c r="G19" s="576"/>
      <c r="H19" s="562"/>
      <c r="I19" s="563"/>
      <c r="J19" s="563"/>
      <c r="K19" s="563"/>
      <c r="L19" s="563"/>
      <c r="M19" s="563"/>
      <c r="N19" s="563"/>
      <c r="O19" s="564"/>
      <c r="P19" s="577"/>
      <c r="Q19" s="578"/>
      <c r="R19" s="461"/>
      <c r="S19" s="462"/>
      <c r="T19" s="463"/>
      <c r="U19" s="461"/>
      <c r="V19" s="462"/>
      <c r="W19" s="463"/>
      <c r="X19" s="461"/>
      <c r="Y19" s="462"/>
      <c r="Z19" s="463"/>
      <c r="AA19" s="461">
        <f>X19-U19</f>
        <v>0</v>
      </c>
      <c r="AB19" s="462"/>
      <c r="AC19" s="463"/>
      <c r="AD19" s="449" t="e">
        <f>(X19/U19)*100</f>
        <v>#DIV/0!</v>
      </c>
      <c r="AE19" s="450"/>
      <c r="AF19" s="451"/>
    </row>
    <row r="20" spans="1:32" ht="20.100000000000001" customHeight="1">
      <c r="A20" s="95"/>
      <c r="B20" s="554"/>
      <c r="C20" s="555"/>
      <c r="D20" s="576"/>
      <c r="E20" s="576"/>
      <c r="F20" s="576"/>
      <c r="G20" s="576"/>
      <c r="H20" s="562"/>
      <c r="I20" s="563"/>
      <c r="J20" s="563"/>
      <c r="K20" s="563"/>
      <c r="L20" s="563"/>
      <c r="M20" s="563"/>
      <c r="N20" s="563"/>
      <c r="O20" s="564"/>
      <c r="P20" s="577"/>
      <c r="Q20" s="578"/>
      <c r="R20" s="461"/>
      <c r="S20" s="462"/>
      <c r="T20" s="463"/>
      <c r="U20" s="461"/>
      <c r="V20" s="462"/>
      <c r="W20" s="463"/>
      <c r="X20" s="461"/>
      <c r="Y20" s="462"/>
      <c r="Z20" s="463"/>
      <c r="AA20" s="461">
        <f>X20-U20</f>
        <v>0</v>
      </c>
      <c r="AB20" s="462"/>
      <c r="AC20" s="463"/>
      <c r="AD20" s="449" t="e">
        <f>(X20/U20)*100</f>
        <v>#DIV/0!</v>
      </c>
      <c r="AE20" s="450"/>
      <c r="AF20" s="451"/>
    </row>
    <row r="21" spans="1:32" ht="20.100000000000001" customHeight="1">
      <c r="A21" s="95"/>
      <c r="B21" s="554"/>
      <c r="C21" s="555"/>
      <c r="D21" s="576"/>
      <c r="E21" s="576"/>
      <c r="F21" s="576"/>
      <c r="G21" s="576"/>
      <c r="H21" s="562"/>
      <c r="I21" s="563"/>
      <c r="J21" s="563"/>
      <c r="K21" s="563"/>
      <c r="L21" s="563"/>
      <c r="M21" s="563"/>
      <c r="N21" s="563"/>
      <c r="O21" s="564"/>
      <c r="P21" s="577"/>
      <c r="Q21" s="578"/>
      <c r="R21" s="461"/>
      <c r="S21" s="462"/>
      <c r="T21" s="463"/>
      <c r="U21" s="461"/>
      <c r="V21" s="462"/>
      <c r="W21" s="463"/>
      <c r="X21" s="461"/>
      <c r="Y21" s="462"/>
      <c r="Z21" s="463"/>
      <c r="AA21" s="461">
        <f>X21-U21</f>
        <v>0</v>
      </c>
      <c r="AB21" s="462"/>
      <c r="AC21" s="463"/>
      <c r="AD21" s="449" t="e">
        <f>(X21/U21)*100</f>
        <v>#DIV/0!</v>
      </c>
      <c r="AE21" s="450"/>
      <c r="AF21" s="451"/>
    </row>
    <row r="22" spans="1:32" ht="20.100000000000001" customHeight="1">
      <c r="A22" s="95"/>
      <c r="B22" s="554"/>
      <c r="C22" s="555"/>
      <c r="D22" s="576"/>
      <c r="E22" s="576"/>
      <c r="F22" s="576"/>
      <c r="G22" s="576"/>
      <c r="H22" s="562"/>
      <c r="I22" s="563"/>
      <c r="J22" s="563"/>
      <c r="K22" s="563"/>
      <c r="L22" s="563"/>
      <c r="M22" s="563"/>
      <c r="N22" s="563"/>
      <c r="O22" s="564"/>
      <c r="P22" s="577"/>
      <c r="Q22" s="578"/>
      <c r="R22" s="461"/>
      <c r="S22" s="462"/>
      <c r="T22" s="463"/>
      <c r="U22" s="461"/>
      <c r="V22" s="462"/>
      <c r="W22" s="463"/>
      <c r="X22" s="461"/>
      <c r="Y22" s="462"/>
      <c r="Z22" s="463"/>
      <c r="AA22" s="461">
        <f>X22-U22</f>
        <v>0</v>
      </c>
      <c r="AB22" s="462"/>
      <c r="AC22" s="463"/>
      <c r="AD22" s="449" t="e">
        <f>(X22/U22)*100</f>
        <v>#DIV/0!</v>
      </c>
      <c r="AE22" s="450"/>
      <c r="AF22" s="451"/>
    </row>
    <row r="23" spans="1:32" ht="24.95" customHeight="1">
      <c r="A23" s="602" t="s">
        <v>49</v>
      </c>
      <c r="B23" s="603"/>
      <c r="C23" s="603"/>
      <c r="D23" s="603"/>
      <c r="E23" s="603"/>
      <c r="F23" s="603"/>
      <c r="G23" s="603"/>
      <c r="H23" s="603"/>
      <c r="I23" s="603"/>
      <c r="J23" s="603"/>
      <c r="K23" s="603"/>
      <c r="L23" s="603"/>
      <c r="M23" s="603"/>
      <c r="N23" s="603"/>
      <c r="O23" s="603"/>
      <c r="P23" s="603"/>
      <c r="Q23" s="604"/>
      <c r="R23" s="515">
        <f>SUM(R19:R22)</f>
        <v>0</v>
      </c>
      <c r="S23" s="559"/>
      <c r="T23" s="516"/>
      <c r="U23" s="515">
        <f>SUM(U19:U22)</f>
        <v>0</v>
      </c>
      <c r="V23" s="559"/>
      <c r="W23" s="516"/>
      <c r="X23" s="515">
        <f>SUM(X19:X22)</f>
        <v>0</v>
      </c>
      <c r="Y23" s="559"/>
      <c r="Z23" s="516"/>
      <c r="AA23" s="461">
        <f>X23-U23</f>
        <v>0</v>
      </c>
      <c r="AB23" s="462"/>
      <c r="AC23" s="463"/>
      <c r="AD23" s="449" t="e">
        <f>(X23/U23)*100</f>
        <v>#DIV/0!</v>
      </c>
      <c r="AE23" s="450"/>
      <c r="AF23" s="451"/>
    </row>
    <row r="24" spans="1:3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R24" s="29"/>
      <c r="S24" s="29"/>
      <c r="T24" s="29"/>
      <c r="U24" s="29"/>
      <c r="V24" s="29"/>
      <c r="AF24" s="29"/>
    </row>
    <row r="25" spans="1:32" ht="16.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R25" s="29"/>
      <c r="S25" s="29"/>
      <c r="T25" s="29"/>
      <c r="U25" s="29"/>
      <c r="V25" s="29"/>
      <c r="AF25" s="29"/>
    </row>
    <row r="26" spans="1:32" s="43" customFormat="1" ht="18.75" customHeight="1">
      <c r="C26" s="43" t="s">
        <v>147</v>
      </c>
    </row>
    <row r="27" spans="1:32">
      <c r="A27" s="323"/>
      <c r="B27" s="26"/>
      <c r="C27" s="26"/>
      <c r="D27" s="26"/>
      <c r="E27" s="26"/>
      <c r="F27" s="26"/>
      <c r="G27" s="26"/>
      <c r="H27" s="26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26"/>
      <c r="Z27" s="597"/>
      <c r="AA27" s="597"/>
      <c r="AB27" s="597"/>
      <c r="AD27" s="619" t="s">
        <v>380</v>
      </c>
      <c r="AE27" s="619"/>
      <c r="AF27" s="619"/>
    </row>
    <row r="28" spans="1:32" ht="24.95" customHeight="1">
      <c r="A28" s="549" t="s">
        <v>68</v>
      </c>
      <c r="B28" s="567" t="s">
        <v>168</v>
      </c>
      <c r="C28" s="622"/>
      <c r="D28" s="622"/>
      <c r="E28" s="622"/>
      <c r="F28" s="622"/>
      <c r="G28" s="622"/>
      <c r="H28" s="622"/>
      <c r="I28" s="622"/>
      <c r="J28" s="622"/>
      <c r="K28" s="622"/>
      <c r="L28" s="568"/>
      <c r="M28" s="594" t="s">
        <v>48</v>
      </c>
      <c r="N28" s="595"/>
      <c r="O28" s="595"/>
      <c r="P28" s="596"/>
      <c r="Q28" s="594" t="s">
        <v>77</v>
      </c>
      <c r="R28" s="595"/>
      <c r="S28" s="595"/>
      <c r="T28" s="596"/>
      <c r="U28" s="594" t="s">
        <v>202</v>
      </c>
      <c r="V28" s="595"/>
      <c r="W28" s="595"/>
      <c r="X28" s="596"/>
      <c r="Y28" s="594" t="s">
        <v>106</v>
      </c>
      <c r="Z28" s="595"/>
      <c r="AA28" s="595"/>
      <c r="AB28" s="596"/>
      <c r="AC28" s="594" t="s">
        <v>49</v>
      </c>
      <c r="AD28" s="595"/>
      <c r="AE28" s="595"/>
      <c r="AF28" s="596"/>
    </row>
    <row r="29" spans="1:32" ht="24.95" customHeight="1">
      <c r="A29" s="550"/>
      <c r="B29" s="569"/>
      <c r="C29" s="623"/>
      <c r="D29" s="623"/>
      <c r="E29" s="623"/>
      <c r="F29" s="623"/>
      <c r="G29" s="623"/>
      <c r="H29" s="623"/>
      <c r="I29" s="623"/>
      <c r="J29" s="623"/>
      <c r="K29" s="623"/>
      <c r="L29" s="570"/>
      <c r="M29" s="588" t="s">
        <v>165</v>
      </c>
      <c r="N29" s="588" t="s">
        <v>166</v>
      </c>
      <c r="O29" s="588" t="s">
        <v>184</v>
      </c>
      <c r="P29" s="588" t="s">
        <v>185</v>
      </c>
      <c r="Q29" s="588" t="s">
        <v>165</v>
      </c>
      <c r="R29" s="588" t="s">
        <v>166</v>
      </c>
      <c r="S29" s="588" t="s">
        <v>184</v>
      </c>
      <c r="T29" s="588" t="s">
        <v>185</v>
      </c>
      <c r="U29" s="588" t="s">
        <v>165</v>
      </c>
      <c r="V29" s="588" t="s">
        <v>166</v>
      </c>
      <c r="W29" s="588" t="s">
        <v>184</v>
      </c>
      <c r="X29" s="588" t="s">
        <v>185</v>
      </c>
      <c r="Y29" s="588" t="s">
        <v>165</v>
      </c>
      <c r="Z29" s="588" t="s">
        <v>166</v>
      </c>
      <c r="AA29" s="588" t="s">
        <v>184</v>
      </c>
      <c r="AB29" s="588" t="s">
        <v>185</v>
      </c>
      <c r="AC29" s="588" t="s">
        <v>165</v>
      </c>
      <c r="AD29" s="588" t="s">
        <v>166</v>
      </c>
      <c r="AE29" s="588" t="s">
        <v>184</v>
      </c>
      <c r="AF29" s="588" t="s">
        <v>185</v>
      </c>
    </row>
    <row r="30" spans="1:32" ht="24.95" customHeight="1">
      <c r="A30" s="551"/>
      <c r="B30" s="571"/>
      <c r="C30" s="624"/>
      <c r="D30" s="624"/>
      <c r="E30" s="624"/>
      <c r="F30" s="624"/>
      <c r="G30" s="624"/>
      <c r="H30" s="624"/>
      <c r="I30" s="624"/>
      <c r="J30" s="624"/>
      <c r="K30" s="624"/>
      <c r="L30" s="572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  <c r="AC30" s="589"/>
      <c r="AD30" s="589"/>
      <c r="AE30" s="589"/>
      <c r="AF30" s="589"/>
    </row>
    <row r="31" spans="1:32" ht="18.75" customHeight="1">
      <c r="A31" s="106">
        <v>1</v>
      </c>
      <c r="B31" s="612">
        <v>2</v>
      </c>
      <c r="C31" s="612"/>
      <c r="D31" s="612"/>
      <c r="E31" s="612"/>
      <c r="F31" s="612"/>
      <c r="G31" s="612"/>
      <c r="H31" s="612"/>
      <c r="I31" s="612"/>
      <c r="J31" s="612"/>
      <c r="K31" s="612"/>
      <c r="L31" s="612"/>
      <c r="M31" s="94">
        <v>3</v>
      </c>
      <c r="N31" s="94">
        <v>4</v>
      </c>
      <c r="O31" s="94">
        <v>5</v>
      </c>
      <c r="P31" s="94">
        <v>6</v>
      </c>
      <c r="Q31" s="94">
        <v>7</v>
      </c>
      <c r="R31" s="94">
        <v>8</v>
      </c>
      <c r="S31" s="94">
        <v>9</v>
      </c>
      <c r="T31" s="94">
        <v>10</v>
      </c>
      <c r="U31" s="94">
        <v>11</v>
      </c>
      <c r="V31" s="94">
        <v>12</v>
      </c>
      <c r="W31" s="94">
        <v>13</v>
      </c>
      <c r="X31" s="94">
        <v>14</v>
      </c>
      <c r="Y31" s="94">
        <v>15</v>
      </c>
      <c r="Z31" s="94">
        <v>16</v>
      </c>
      <c r="AA31" s="94">
        <v>17</v>
      </c>
      <c r="AB31" s="94">
        <v>18</v>
      </c>
      <c r="AC31" s="94">
        <v>19</v>
      </c>
      <c r="AD31" s="94">
        <v>20</v>
      </c>
      <c r="AE31" s="94">
        <v>21</v>
      </c>
      <c r="AF31" s="94">
        <v>22</v>
      </c>
    </row>
    <row r="32" spans="1:32" ht="20.100000000000001" customHeight="1">
      <c r="A32" s="107"/>
      <c r="B32" s="606"/>
      <c r="C32" s="606"/>
      <c r="D32" s="606"/>
      <c r="E32" s="606"/>
      <c r="F32" s="606"/>
      <c r="G32" s="606"/>
      <c r="H32" s="606"/>
      <c r="I32" s="606"/>
      <c r="J32" s="606"/>
      <c r="K32" s="606"/>
      <c r="L32" s="606"/>
      <c r="M32" s="118"/>
      <c r="N32" s="118"/>
      <c r="O32" s="118">
        <f>N32-M32</f>
        <v>0</v>
      </c>
      <c r="P32" s="175" t="e">
        <f>N32/M32*100</f>
        <v>#DIV/0!</v>
      </c>
      <c r="Q32" s="118"/>
      <c r="R32" s="118"/>
      <c r="S32" s="118">
        <f>R32-Q32</f>
        <v>0</v>
      </c>
      <c r="T32" s="175" t="e">
        <f>R32/Q32*100</f>
        <v>#DIV/0!</v>
      </c>
      <c r="U32" s="118"/>
      <c r="V32" s="118"/>
      <c r="W32" s="118">
        <f>V32-U32</f>
        <v>0</v>
      </c>
      <c r="X32" s="175" t="e">
        <f>V32/U32*100</f>
        <v>#DIV/0!</v>
      </c>
      <c r="Y32" s="118"/>
      <c r="Z32" s="118"/>
      <c r="AA32" s="118">
        <f>Z32-Y32</f>
        <v>0</v>
      </c>
      <c r="AB32" s="175" t="e">
        <f>Z32/Y32*100</f>
        <v>#DIV/0!</v>
      </c>
      <c r="AC32" s="118">
        <f t="shared" ref="AC32:AD35" si="0">SUM(M32,Q32,U32,Y32)</f>
        <v>0</v>
      </c>
      <c r="AD32" s="118">
        <f t="shared" si="0"/>
        <v>0</v>
      </c>
      <c r="AE32" s="118">
        <f>AD32-AC32</f>
        <v>0</v>
      </c>
      <c r="AF32" s="175" t="e">
        <f>AD32/AC32*100</f>
        <v>#DIV/0!</v>
      </c>
    </row>
    <row r="33" spans="1:32" ht="20.100000000000001" customHeight="1">
      <c r="A33" s="107"/>
      <c r="B33" s="606"/>
      <c r="C33" s="606"/>
      <c r="D33" s="606"/>
      <c r="E33" s="606"/>
      <c r="F33" s="606"/>
      <c r="G33" s="606"/>
      <c r="H33" s="606"/>
      <c r="I33" s="606"/>
      <c r="J33" s="606"/>
      <c r="K33" s="606"/>
      <c r="L33" s="606"/>
      <c r="M33" s="118"/>
      <c r="N33" s="118"/>
      <c r="O33" s="118">
        <f>N33-M33</f>
        <v>0</v>
      </c>
      <c r="P33" s="175" t="e">
        <f>N33/M33*100</f>
        <v>#DIV/0!</v>
      </c>
      <c r="Q33" s="118"/>
      <c r="R33" s="118"/>
      <c r="S33" s="118">
        <f>R33-Q33</f>
        <v>0</v>
      </c>
      <c r="T33" s="175" t="e">
        <f>R33/Q33*100</f>
        <v>#DIV/0!</v>
      </c>
      <c r="U33" s="118"/>
      <c r="V33" s="118"/>
      <c r="W33" s="118">
        <f>V33-U33</f>
        <v>0</v>
      </c>
      <c r="X33" s="175" t="e">
        <f>V33/U33*100</f>
        <v>#DIV/0!</v>
      </c>
      <c r="Y33" s="118"/>
      <c r="Z33" s="118"/>
      <c r="AA33" s="118">
        <f>Z33-Y33</f>
        <v>0</v>
      </c>
      <c r="AB33" s="175" t="e">
        <f>Z33/Y33*100</f>
        <v>#DIV/0!</v>
      </c>
      <c r="AC33" s="118">
        <f t="shared" si="0"/>
        <v>0</v>
      </c>
      <c r="AD33" s="118">
        <f t="shared" si="0"/>
        <v>0</v>
      </c>
      <c r="AE33" s="118">
        <f>AD33-AC33</f>
        <v>0</v>
      </c>
      <c r="AF33" s="175" t="e">
        <f>AD33/AC33*100</f>
        <v>#DIV/0!</v>
      </c>
    </row>
    <row r="34" spans="1:32" ht="20.100000000000001" customHeight="1">
      <c r="A34" s="107"/>
      <c r="B34" s="606"/>
      <c r="C34" s="606"/>
      <c r="D34" s="607"/>
      <c r="E34" s="607"/>
      <c r="F34" s="607"/>
      <c r="G34" s="607"/>
      <c r="H34" s="607"/>
      <c r="I34" s="606"/>
      <c r="J34" s="606"/>
      <c r="K34" s="606"/>
      <c r="L34" s="606"/>
      <c r="M34" s="118"/>
      <c r="N34" s="118"/>
      <c r="O34" s="118">
        <f>N34-M34</f>
        <v>0</v>
      </c>
      <c r="P34" s="175" t="e">
        <f>N34/M34*100</f>
        <v>#DIV/0!</v>
      </c>
      <c r="Q34" s="118"/>
      <c r="R34" s="118"/>
      <c r="S34" s="118">
        <f>R34-Q34</f>
        <v>0</v>
      </c>
      <c r="T34" s="175" t="e">
        <f>R34/Q34*100</f>
        <v>#DIV/0!</v>
      </c>
      <c r="U34" s="118"/>
      <c r="V34" s="118"/>
      <c r="W34" s="118">
        <f>V34-U34</f>
        <v>0</v>
      </c>
      <c r="X34" s="175" t="e">
        <f>V34/U34*100</f>
        <v>#DIV/0!</v>
      </c>
      <c r="Y34" s="118"/>
      <c r="Z34" s="118"/>
      <c r="AA34" s="118">
        <f>Z34-Y34</f>
        <v>0</v>
      </c>
      <c r="AB34" s="175" t="e">
        <f>Z34/Y34*100</f>
        <v>#DIV/0!</v>
      </c>
      <c r="AC34" s="118">
        <f t="shared" si="0"/>
        <v>0</v>
      </c>
      <c r="AD34" s="118">
        <f t="shared" si="0"/>
        <v>0</v>
      </c>
      <c r="AE34" s="118">
        <f>AD34-AC34</f>
        <v>0</v>
      </c>
      <c r="AF34" s="175" t="e">
        <f>AD34/AC34*100</f>
        <v>#DIV/0!</v>
      </c>
    </row>
    <row r="35" spans="1:32" ht="20.100000000000001" customHeight="1">
      <c r="A35" s="107"/>
      <c r="B35" s="606"/>
      <c r="C35" s="606"/>
      <c r="D35" s="607"/>
      <c r="E35" s="607"/>
      <c r="F35" s="607"/>
      <c r="G35" s="607"/>
      <c r="H35" s="607"/>
      <c r="I35" s="606"/>
      <c r="J35" s="606"/>
      <c r="K35" s="606"/>
      <c r="L35" s="606"/>
      <c r="M35" s="118"/>
      <c r="N35" s="118"/>
      <c r="O35" s="118">
        <f>N35-M35</f>
        <v>0</v>
      </c>
      <c r="P35" s="175" t="e">
        <f>N35/M35*100</f>
        <v>#DIV/0!</v>
      </c>
      <c r="Q35" s="118"/>
      <c r="R35" s="118"/>
      <c r="S35" s="118">
        <f>R35-Q35</f>
        <v>0</v>
      </c>
      <c r="T35" s="175" t="e">
        <f>R35/Q35*100</f>
        <v>#DIV/0!</v>
      </c>
      <c r="U35" s="118"/>
      <c r="V35" s="118"/>
      <c r="W35" s="118">
        <f>V35-U35</f>
        <v>0</v>
      </c>
      <c r="X35" s="175" t="e">
        <f>V35/U35*100</f>
        <v>#DIV/0!</v>
      </c>
      <c r="Y35" s="118"/>
      <c r="Z35" s="118"/>
      <c r="AA35" s="118">
        <f>Z35-Y35</f>
        <v>0</v>
      </c>
      <c r="AB35" s="175" t="e">
        <f>Z35/Y35*100</f>
        <v>#DIV/0!</v>
      </c>
      <c r="AC35" s="118">
        <f t="shared" si="0"/>
        <v>0</v>
      </c>
      <c r="AD35" s="118">
        <f t="shared" si="0"/>
        <v>0</v>
      </c>
      <c r="AE35" s="118">
        <f>AD35-AC35</f>
        <v>0</v>
      </c>
      <c r="AF35" s="175" t="e">
        <f>AD35/AC35*100</f>
        <v>#DIV/0!</v>
      </c>
    </row>
    <row r="36" spans="1:32" ht="24.95" customHeight="1">
      <c r="A36" s="613" t="s">
        <v>49</v>
      </c>
      <c r="B36" s="614"/>
      <c r="C36" s="614"/>
      <c r="D36" s="615"/>
      <c r="E36" s="615"/>
      <c r="F36" s="615"/>
      <c r="G36" s="615"/>
      <c r="H36" s="615"/>
      <c r="I36" s="614"/>
      <c r="J36" s="614"/>
      <c r="K36" s="614"/>
      <c r="L36" s="616"/>
      <c r="M36" s="174">
        <f t="shared" ref="M36:AD36" si="1">SUM(M32:M35)</f>
        <v>0</v>
      </c>
      <c r="N36" s="174">
        <f t="shared" si="1"/>
        <v>0</v>
      </c>
      <c r="O36" s="147">
        <f>SUM(O32:O35)</f>
        <v>0</v>
      </c>
      <c r="P36" s="176" t="e">
        <f>N36/M36*100</f>
        <v>#DIV/0!</v>
      </c>
      <c r="Q36" s="174">
        <f t="shared" si="1"/>
        <v>0</v>
      </c>
      <c r="R36" s="174">
        <f t="shared" si="1"/>
        <v>0</v>
      </c>
      <c r="S36" s="147">
        <f>SUM(S32:S35)</f>
        <v>0</v>
      </c>
      <c r="T36" s="176" t="e">
        <f>R36/Q36*100</f>
        <v>#DIV/0!</v>
      </c>
      <c r="U36" s="174">
        <f t="shared" si="1"/>
        <v>0</v>
      </c>
      <c r="V36" s="174">
        <f t="shared" si="1"/>
        <v>0</v>
      </c>
      <c r="W36" s="147">
        <f>SUM(W32:W35)</f>
        <v>0</v>
      </c>
      <c r="X36" s="176" t="e">
        <f>V36/U36*100</f>
        <v>#DIV/0!</v>
      </c>
      <c r="Y36" s="174">
        <f t="shared" si="1"/>
        <v>0</v>
      </c>
      <c r="Z36" s="174">
        <f t="shared" si="1"/>
        <v>0</v>
      </c>
      <c r="AA36" s="147">
        <f>SUM(AA32:AA35)</f>
        <v>0</v>
      </c>
      <c r="AB36" s="176" t="e">
        <f>Z36/Y36*100</f>
        <v>#DIV/0!</v>
      </c>
      <c r="AC36" s="174">
        <f t="shared" si="1"/>
        <v>0</v>
      </c>
      <c r="AD36" s="174">
        <f t="shared" si="1"/>
        <v>0</v>
      </c>
      <c r="AE36" s="147">
        <f>SUM(AE32:AE35)</f>
        <v>0</v>
      </c>
      <c r="AF36" s="176" t="e">
        <f>AD36/AC36*100</f>
        <v>#DIV/0!</v>
      </c>
    </row>
    <row r="37" spans="1:32" ht="24.95" customHeight="1">
      <c r="A37" s="608" t="s">
        <v>50</v>
      </c>
      <c r="B37" s="609"/>
      <c r="C37" s="609"/>
      <c r="D37" s="610"/>
      <c r="E37" s="610"/>
      <c r="F37" s="610"/>
      <c r="G37" s="610"/>
      <c r="H37" s="610"/>
      <c r="I37" s="609"/>
      <c r="J37" s="609"/>
      <c r="K37" s="609"/>
      <c r="L37" s="611"/>
      <c r="M37" s="177" t="e">
        <f>M36/AC36*100</f>
        <v>#DIV/0!</v>
      </c>
      <c r="N37" s="177" t="e">
        <f>N36/AD36*100</f>
        <v>#DIV/0!</v>
      </c>
      <c r="O37" s="92"/>
      <c r="P37" s="92"/>
      <c r="Q37" s="177" t="e">
        <f>Q36/AC36*100</f>
        <v>#DIV/0!</v>
      </c>
      <c r="R37" s="177" t="e">
        <f>R36/AD36*100</f>
        <v>#DIV/0!</v>
      </c>
      <c r="S37" s="92"/>
      <c r="T37" s="92"/>
      <c r="U37" s="177" t="e">
        <f>U36/AC36*100</f>
        <v>#DIV/0!</v>
      </c>
      <c r="V37" s="177" t="e">
        <f>V36/AD36*100</f>
        <v>#DIV/0!</v>
      </c>
      <c r="W37" s="92"/>
      <c r="X37" s="92"/>
      <c r="Y37" s="177" t="e">
        <f>Y36/AC36*100</f>
        <v>#DIV/0!</v>
      </c>
      <c r="Z37" s="177" t="e">
        <f>Z36/AD36*100</f>
        <v>#DIV/0!</v>
      </c>
      <c r="AA37" s="92"/>
      <c r="AB37" s="92"/>
      <c r="AC37" s="177" t="e">
        <f>SUM(M37,Q37,U37,Y37)</f>
        <v>#DIV/0!</v>
      </c>
      <c r="AD37" s="177" t="e">
        <f>SUM(N37,R37,V37,Z37)</f>
        <v>#DIV/0!</v>
      </c>
      <c r="AE37" s="92"/>
      <c r="AF37" s="92"/>
    </row>
    <row r="38" spans="1:32" ht="15" customHeight="1">
      <c r="A38" s="17"/>
      <c r="B38" s="17"/>
      <c r="C38" s="17"/>
      <c r="D38" s="275"/>
      <c r="E38" s="275"/>
      <c r="F38" s="275"/>
      <c r="G38" s="275"/>
      <c r="H38" s="275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32" ht="15" customHeight="1">
      <c r="A39" s="17"/>
      <c r="B39" s="17"/>
      <c r="C39" s="17"/>
      <c r="D39" s="275"/>
      <c r="E39" s="275"/>
      <c r="F39" s="275"/>
      <c r="G39" s="275"/>
      <c r="H39" s="275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32" s="43" customFormat="1" ht="31.5" customHeight="1">
      <c r="C40" s="43" t="s">
        <v>169</v>
      </c>
      <c r="D40" s="276"/>
      <c r="E40" s="276"/>
      <c r="F40" s="276"/>
      <c r="G40" s="276"/>
      <c r="H40" s="276"/>
    </row>
    <row r="41" spans="1:32" s="85" customFormat="1">
      <c r="A41" s="2"/>
      <c r="B41" s="2"/>
      <c r="C41" s="2"/>
      <c r="D41" s="277"/>
      <c r="E41" s="277"/>
      <c r="F41" s="277"/>
      <c r="G41" s="277"/>
      <c r="H41" s="277"/>
      <c r="I41" s="2"/>
      <c r="J41" s="2"/>
      <c r="L41" s="2"/>
      <c r="AD41" s="621" t="s">
        <v>380</v>
      </c>
      <c r="AE41" s="621"/>
      <c r="AF41" s="621"/>
    </row>
    <row r="42" spans="1:32" s="86" customFormat="1" ht="34.5" customHeight="1">
      <c r="A42" s="383" t="s">
        <v>446</v>
      </c>
      <c r="B42" s="534" t="s">
        <v>214</v>
      </c>
      <c r="C42" s="536"/>
      <c r="D42" s="485" t="s">
        <v>215</v>
      </c>
      <c r="E42" s="485"/>
      <c r="F42" s="485" t="s">
        <v>144</v>
      </c>
      <c r="G42" s="485"/>
      <c r="H42" s="485" t="s">
        <v>320</v>
      </c>
      <c r="I42" s="373"/>
      <c r="J42" s="373" t="s">
        <v>321</v>
      </c>
      <c r="K42" s="373"/>
      <c r="L42" s="373" t="s">
        <v>455</v>
      </c>
      <c r="M42" s="373"/>
      <c r="N42" s="373"/>
      <c r="O42" s="373"/>
      <c r="P42" s="373"/>
      <c r="Q42" s="373"/>
      <c r="R42" s="373"/>
      <c r="S42" s="373"/>
      <c r="T42" s="373"/>
      <c r="U42" s="373"/>
      <c r="V42" s="620" t="s">
        <v>447</v>
      </c>
      <c r="W42" s="620"/>
      <c r="X42" s="620"/>
      <c r="Y42" s="620"/>
      <c r="Z42" s="620"/>
      <c r="AA42" s="620" t="s">
        <v>448</v>
      </c>
      <c r="AB42" s="620"/>
      <c r="AC42" s="620"/>
      <c r="AD42" s="620"/>
      <c r="AE42" s="620"/>
      <c r="AF42" s="620"/>
    </row>
    <row r="43" spans="1:32" s="86" customFormat="1" ht="52.5" customHeight="1">
      <c r="A43" s="383"/>
      <c r="B43" s="579"/>
      <c r="C43" s="581"/>
      <c r="D43" s="485"/>
      <c r="E43" s="485"/>
      <c r="F43" s="485"/>
      <c r="G43" s="485"/>
      <c r="H43" s="485"/>
      <c r="I43" s="373"/>
      <c r="J43" s="373"/>
      <c r="K43" s="373"/>
      <c r="L43" s="373" t="s">
        <v>196</v>
      </c>
      <c r="M43" s="373"/>
      <c r="N43" s="373" t="s">
        <v>200</v>
      </c>
      <c r="O43" s="373"/>
      <c r="P43" s="373" t="s">
        <v>201</v>
      </c>
      <c r="Q43" s="373"/>
      <c r="R43" s="373"/>
      <c r="S43" s="373"/>
      <c r="T43" s="373"/>
      <c r="U43" s="373"/>
      <c r="V43" s="620"/>
      <c r="W43" s="620"/>
      <c r="X43" s="620"/>
      <c r="Y43" s="620"/>
      <c r="Z43" s="620"/>
      <c r="AA43" s="620"/>
      <c r="AB43" s="620"/>
      <c r="AC43" s="620"/>
      <c r="AD43" s="620"/>
      <c r="AE43" s="620"/>
      <c r="AF43" s="620"/>
    </row>
    <row r="44" spans="1:32" s="87" customFormat="1" ht="82.5" customHeight="1">
      <c r="A44" s="383"/>
      <c r="B44" s="537"/>
      <c r="C44" s="539"/>
      <c r="D44" s="485"/>
      <c r="E44" s="485"/>
      <c r="F44" s="485"/>
      <c r="G44" s="485"/>
      <c r="H44" s="485"/>
      <c r="I44" s="373"/>
      <c r="J44" s="373"/>
      <c r="K44" s="373"/>
      <c r="L44" s="373"/>
      <c r="M44" s="373"/>
      <c r="N44" s="373"/>
      <c r="O44" s="373"/>
      <c r="P44" s="373" t="s">
        <v>197</v>
      </c>
      <c r="Q44" s="373"/>
      <c r="R44" s="373" t="s">
        <v>198</v>
      </c>
      <c r="S44" s="373"/>
      <c r="T44" s="373" t="s">
        <v>199</v>
      </c>
      <c r="U44" s="373"/>
      <c r="V44" s="620"/>
      <c r="W44" s="620"/>
      <c r="X44" s="620"/>
      <c r="Y44" s="620"/>
      <c r="Z44" s="620"/>
      <c r="AA44" s="620"/>
      <c r="AB44" s="620"/>
      <c r="AC44" s="620"/>
      <c r="AD44" s="620"/>
      <c r="AE44" s="620"/>
      <c r="AF44" s="620"/>
    </row>
    <row r="45" spans="1:32" s="86" customFormat="1" ht="18.75" customHeight="1">
      <c r="A45" s="68">
        <v>1</v>
      </c>
      <c r="B45" s="418">
        <v>2</v>
      </c>
      <c r="C45" s="420"/>
      <c r="D45" s="605">
        <v>3</v>
      </c>
      <c r="E45" s="605"/>
      <c r="F45" s="605">
        <v>4</v>
      </c>
      <c r="G45" s="605"/>
      <c r="H45" s="605">
        <v>5</v>
      </c>
      <c r="I45" s="605"/>
      <c r="J45" s="373">
        <v>6</v>
      </c>
      <c r="K45" s="373"/>
      <c r="L45" s="418">
        <v>7</v>
      </c>
      <c r="M45" s="420"/>
      <c r="N45" s="418">
        <v>8</v>
      </c>
      <c r="O45" s="420"/>
      <c r="P45" s="373">
        <v>9</v>
      </c>
      <c r="Q45" s="373"/>
      <c r="R45" s="383">
        <v>10</v>
      </c>
      <c r="S45" s="383"/>
      <c r="T45" s="373">
        <v>11</v>
      </c>
      <c r="U45" s="373"/>
      <c r="V45" s="373">
        <v>12</v>
      </c>
      <c r="W45" s="373"/>
      <c r="X45" s="373"/>
      <c r="Y45" s="373"/>
      <c r="Z45" s="373"/>
      <c r="AA45" s="373">
        <v>13</v>
      </c>
      <c r="AB45" s="373"/>
      <c r="AC45" s="373"/>
      <c r="AD45" s="373"/>
      <c r="AE45" s="373"/>
      <c r="AF45" s="373"/>
    </row>
    <row r="46" spans="1:32" s="86" customFormat="1" ht="20.100000000000001" customHeight="1">
      <c r="A46" s="105"/>
      <c r="B46" s="617"/>
      <c r="C46" s="618"/>
      <c r="D46" s="485"/>
      <c r="E46" s="485"/>
      <c r="F46" s="485"/>
      <c r="G46" s="485"/>
      <c r="H46" s="485"/>
      <c r="I46" s="573"/>
      <c r="J46" s="573"/>
      <c r="K46" s="573"/>
      <c r="L46" s="461"/>
      <c r="M46" s="463"/>
      <c r="N46" s="521">
        <f t="shared" ref="N46:N51" si="2">SUM(P46,R46,T46)</f>
        <v>0</v>
      </c>
      <c r="O46" s="522"/>
      <c r="P46" s="573"/>
      <c r="Q46" s="573"/>
      <c r="R46" s="573"/>
      <c r="S46" s="573"/>
      <c r="T46" s="573"/>
      <c r="U46" s="573"/>
      <c r="V46" s="575"/>
      <c r="W46" s="575"/>
      <c r="X46" s="575"/>
      <c r="Y46" s="575"/>
      <c r="Z46" s="575"/>
      <c r="AA46" s="501"/>
      <c r="AB46" s="501"/>
      <c r="AC46" s="501"/>
      <c r="AD46" s="501"/>
      <c r="AE46" s="501"/>
      <c r="AF46" s="501"/>
    </row>
    <row r="47" spans="1:32" s="86" customFormat="1" ht="20.100000000000001" customHeight="1">
      <c r="A47" s="254"/>
      <c r="B47" s="617"/>
      <c r="C47" s="618"/>
      <c r="D47" s="485"/>
      <c r="E47" s="485"/>
      <c r="F47" s="485"/>
      <c r="G47" s="485"/>
      <c r="H47" s="485"/>
      <c r="I47" s="573"/>
      <c r="J47" s="573"/>
      <c r="K47" s="573"/>
      <c r="L47" s="461"/>
      <c r="M47" s="463"/>
      <c r="N47" s="521">
        <f t="shared" si="2"/>
        <v>0</v>
      </c>
      <c r="O47" s="522"/>
      <c r="P47" s="573"/>
      <c r="Q47" s="573"/>
      <c r="R47" s="573"/>
      <c r="S47" s="573"/>
      <c r="T47" s="573"/>
      <c r="U47" s="573"/>
      <c r="V47" s="575"/>
      <c r="W47" s="575"/>
      <c r="X47" s="575"/>
      <c r="Y47" s="575"/>
      <c r="Z47" s="575"/>
      <c r="AA47" s="501"/>
      <c r="AB47" s="501"/>
      <c r="AC47" s="501"/>
      <c r="AD47" s="501"/>
      <c r="AE47" s="501"/>
      <c r="AF47" s="501"/>
    </row>
    <row r="48" spans="1:32" s="86" customFormat="1" ht="20.100000000000001" customHeight="1">
      <c r="A48" s="68"/>
      <c r="B48" s="617"/>
      <c r="C48" s="618"/>
      <c r="D48" s="485"/>
      <c r="E48" s="485"/>
      <c r="F48" s="485"/>
      <c r="G48" s="485"/>
      <c r="H48" s="485"/>
      <c r="I48" s="573"/>
      <c r="J48" s="573"/>
      <c r="K48" s="573"/>
      <c r="L48" s="461"/>
      <c r="M48" s="463"/>
      <c r="N48" s="521">
        <f t="shared" si="2"/>
        <v>0</v>
      </c>
      <c r="O48" s="522"/>
      <c r="P48" s="573"/>
      <c r="Q48" s="573"/>
      <c r="R48" s="573"/>
      <c r="S48" s="573"/>
      <c r="T48" s="573"/>
      <c r="U48" s="573"/>
      <c r="V48" s="575"/>
      <c r="W48" s="575"/>
      <c r="X48" s="575"/>
      <c r="Y48" s="575"/>
      <c r="Z48" s="575"/>
      <c r="AA48" s="501"/>
      <c r="AB48" s="501"/>
      <c r="AC48" s="501"/>
      <c r="AD48" s="501"/>
      <c r="AE48" s="501"/>
      <c r="AF48" s="501"/>
    </row>
    <row r="49" spans="1:32" s="86" customFormat="1" ht="20.100000000000001" customHeight="1">
      <c r="A49" s="105"/>
      <c r="B49" s="617"/>
      <c r="C49" s="618"/>
      <c r="D49" s="485"/>
      <c r="E49" s="485"/>
      <c r="F49" s="485"/>
      <c r="G49" s="485"/>
      <c r="H49" s="485"/>
      <c r="I49" s="573"/>
      <c r="J49" s="573"/>
      <c r="K49" s="573"/>
      <c r="L49" s="461"/>
      <c r="M49" s="463"/>
      <c r="N49" s="521">
        <f t="shared" si="2"/>
        <v>0</v>
      </c>
      <c r="O49" s="522"/>
      <c r="P49" s="573"/>
      <c r="Q49" s="573"/>
      <c r="R49" s="573"/>
      <c r="S49" s="573"/>
      <c r="T49" s="573"/>
      <c r="U49" s="573"/>
      <c r="V49" s="575"/>
      <c r="W49" s="575"/>
      <c r="X49" s="575"/>
      <c r="Y49" s="575"/>
      <c r="Z49" s="575"/>
      <c r="AA49" s="501"/>
      <c r="AB49" s="501"/>
      <c r="AC49" s="501"/>
      <c r="AD49" s="501"/>
      <c r="AE49" s="501"/>
      <c r="AF49" s="501"/>
    </row>
    <row r="50" spans="1:32" s="86" customFormat="1" ht="20.100000000000001" customHeight="1">
      <c r="A50" s="105"/>
      <c r="B50" s="617"/>
      <c r="C50" s="618"/>
      <c r="D50" s="485"/>
      <c r="E50" s="485"/>
      <c r="F50" s="485"/>
      <c r="G50" s="485"/>
      <c r="H50" s="485"/>
      <c r="I50" s="573"/>
      <c r="J50" s="573"/>
      <c r="K50" s="573"/>
      <c r="L50" s="461"/>
      <c r="M50" s="463"/>
      <c r="N50" s="521">
        <f t="shared" si="2"/>
        <v>0</v>
      </c>
      <c r="O50" s="522"/>
      <c r="P50" s="573"/>
      <c r="Q50" s="573"/>
      <c r="R50" s="573"/>
      <c r="S50" s="573"/>
      <c r="T50" s="573"/>
      <c r="U50" s="573"/>
      <c r="V50" s="575"/>
      <c r="W50" s="575"/>
      <c r="X50" s="575"/>
      <c r="Y50" s="575"/>
      <c r="Z50" s="575"/>
      <c r="AA50" s="501"/>
      <c r="AB50" s="501"/>
      <c r="AC50" s="501"/>
      <c r="AD50" s="501"/>
      <c r="AE50" s="501"/>
      <c r="AF50" s="501"/>
    </row>
    <row r="51" spans="1:32" s="86" customFormat="1" ht="20.100000000000001" customHeight="1">
      <c r="A51" s="105"/>
      <c r="B51" s="617"/>
      <c r="C51" s="618"/>
      <c r="D51" s="485"/>
      <c r="E51" s="485"/>
      <c r="F51" s="485"/>
      <c r="G51" s="485"/>
      <c r="H51" s="485"/>
      <c r="I51" s="573"/>
      <c r="J51" s="573"/>
      <c r="K51" s="573"/>
      <c r="L51" s="461"/>
      <c r="M51" s="463"/>
      <c r="N51" s="521">
        <f t="shared" si="2"/>
        <v>0</v>
      </c>
      <c r="O51" s="522"/>
      <c r="P51" s="573"/>
      <c r="Q51" s="573"/>
      <c r="R51" s="573"/>
      <c r="S51" s="573"/>
      <c r="T51" s="573"/>
      <c r="U51" s="573"/>
      <c r="V51" s="575"/>
      <c r="W51" s="575"/>
      <c r="X51" s="575"/>
      <c r="Y51" s="575"/>
      <c r="Z51" s="575"/>
      <c r="AA51" s="501"/>
      <c r="AB51" s="501"/>
      <c r="AC51" s="501"/>
      <c r="AD51" s="501"/>
      <c r="AE51" s="501"/>
      <c r="AF51" s="501"/>
    </row>
    <row r="52" spans="1:32" s="86" customFormat="1" ht="24.95" customHeight="1">
      <c r="A52" s="584" t="s">
        <v>49</v>
      </c>
      <c r="B52" s="585"/>
      <c r="C52" s="585"/>
      <c r="D52" s="585"/>
      <c r="E52" s="586"/>
      <c r="F52" s="582">
        <f>SUM(F46:F51)</f>
        <v>0</v>
      </c>
      <c r="G52" s="582"/>
      <c r="H52" s="582">
        <f>SUM(H46:H51)</f>
        <v>0</v>
      </c>
      <c r="I52" s="582"/>
      <c r="J52" s="582">
        <f>SUM(J46:J51)</f>
        <v>0</v>
      </c>
      <c r="K52" s="582"/>
      <c r="L52" s="582">
        <f>SUM(L46:L51)</f>
        <v>0</v>
      </c>
      <c r="M52" s="582"/>
      <c r="N52" s="582">
        <f>SUM(N46:N51)</f>
        <v>0</v>
      </c>
      <c r="O52" s="582"/>
      <c r="P52" s="582">
        <f>SUM(P46:P51)</f>
        <v>0</v>
      </c>
      <c r="Q52" s="582"/>
      <c r="R52" s="582">
        <f>SUM(R46:R51)</f>
        <v>0</v>
      </c>
      <c r="S52" s="582"/>
      <c r="T52" s="582">
        <f>SUM(T46:T51)</f>
        <v>0</v>
      </c>
      <c r="U52" s="582"/>
      <c r="V52" s="583"/>
      <c r="W52" s="583"/>
      <c r="X52" s="583"/>
      <c r="Y52" s="583"/>
      <c r="Z52" s="583"/>
      <c r="AA52" s="543"/>
      <c r="AB52" s="543"/>
      <c r="AC52" s="543"/>
      <c r="AD52" s="543"/>
      <c r="AE52" s="543"/>
      <c r="AF52" s="543"/>
    </row>
    <row r="53" spans="1:32" ht="15" customHeight="1">
      <c r="A53" s="17"/>
      <c r="B53" s="17"/>
      <c r="C53" s="17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32" ht="15" customHeight="1">
      <c r="A54" s="17"/>
      <c r="B54" s="17"/>
      <c r="C54" s="1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32" ht="15" customHeight="1">
      <c r="A55" s="17"/>
      <c r="B55" s="17"/>
      <c r="C55" s="1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32" ht="15" customHeight="1">
      <c r="A56" s="17"/>
      <c r="B56" s="368" t="s">
        <v>529</v>
      </c>
      <c r="C56" s="368"/>
      <c r="D56" s="368"/>
      <c r="E56" s="368"/>
      <c r="F56" s="368"/>
      <c r="G56" s="368"/>
      <c r="H56" s="19"/>
      <c r="I56" s="19"/>
      <c r="J56" s="19"/>
      <c r="K56" s="19"/>
      <c r="L56" s="19"/>
      <c r="M56" s="587" t="s">
        <v>195</v>
      </c>
      <c r="N56" s="587"/>
      <c r="O56" s="587"/>
      <c r="P56" s="587"/>
      <c r="Q56" s="587"/>
      <c r="R56" s="19"/>
      <c r="S56" s="19"/>
      <c r="T56" s="19"/>
      <c r="U56" s="19"/>
      <c r="V56" s="19"/>
      <c r="W56" s="417" t="s">
        <v>511</v>
      </c>
      <c r="X56" s="417"/>
      <c r="Y56" s="417"/>
      <c r="Z56" s="417"/>
      <c r="AA56" s="417"/>
    </row>
    <row r="57" spans="1:32" s="4" customFormat="1">
      <c r="B57" s="367" t="s">
        <v>68</v>
      </c>
      <c r="C57" s="367"/>
      <c r="D57" s="367"/>
      <c r="E57" s="367"/>
      <c r="F57" s="367"/>
      <c r="G57" s="367"/>
      <c r="H57" s="43"/>
      <c r="I57" s="43"/>
      <c r="J57" s="43"/>
      <c r="K57" s="43"/>
      <c r="L57" s="43"/>
      <c r="M57" s="367" t="s">
        <v>69</v>
      </c>
      <c r="N57" s="367"/>
      <c r="O57" s="367"/>
      <c r="P57" s="367"/>
      <c r="Q57" s="367"/>
      <c r="V57" s="2"/>
      <c r="W57" s="367" t="s">
        <v>107</v>
      </c>
      <c r="X57" s="367"/>
      <c r="Y57" s="367"/>
      <c r="Z57" s="367"/>
      <c r="AA57" s="367"/>
    </row>
    <row r="58" spans="1:32" s="35" customFormat="1" ht="16.5" customHeight="1">
      <c r="C58" s="114"/>
      <c r="D58" s="73"/>
      <c r="E58" s="73"/>
      <c r="F58" s="72"/>
      <c r="G58" s="72"/>
      <c r="H58" s="72"/>
      <c r="I58" s="72"/>
      <c r="J58" s="72"/>
      <c r="K58" s="72"/>
      <c r="L58" s="72"/>
      <c r="M58" s="72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</row>
    <row r="59" spans="1:32" s="4" customFormat="1">
      <c r="F59" s="25"/>
      <c r="G59" s="25"/>
      <c r="H59" s="25"/>
      <c r="I59" s="25"/>
      <c r="J59" s="25"/>
      <c r="K59" s="25"/>
      <c r="L59" s="25"/>
      <c r="Q59" s="25"/>
      <c r="R59" s="25"/>
      <c r="S59" s="25"/>
      <c r="T59" s="25"/>
      <c r="X59" s="25"/>
      <c r="Y59" s="25"/>
      <c r="Z59" s="25"/>
      <c r="AA59" s="25"/>
    </row>
    <row r="60" spans="1:32">
      <c r="C60" s="37"/>
      <c r="D60" s="287"/>
      <c r="E60" s="287"/>
      <c r="F60" s="287"/>
      <c r="G60" s="287"/>
      <c r="H60" s="287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37"/>
      <c r="V60" s="37"/>
    </row>
    <row r="61" spans="1:32">
      <c r="C61" s="37"/>
      <c r="D61" s="287"/>
      <c r="E61" s="287"/>
      <c r="F61" s="287"/>
      <c r="G61" s="287"/>
      <c r="H61" s="28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1:32">
      <c r="C62" s="37"/>
      <c r="D62" s="287"/>
      <c r="E62" s="287"/>
      <c r="F62" s="287"/>
      <c r="G62" s="287"/>
      <c r="H62" s="28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3" spans="1:32">
      <c r="C63" s="38"/>
      <c r="D63" s="277"/>
      <c r="E63" s="277"/>
      <c r="F63" s="277"/>
      <c r="G63" s="277"/>
      <c r="H63" s="277"/>
    </row>
    <row r="64" spans="1:32">
      <c r="D64" s="277"/>
      <c r="E64" s="277"/>
      <c r="F64" s="277"/>
      <c r="G64" s="277"/>
      <c r="H64" s="277"/>
    </row>
    <row r="65" spans="3:11">
      <c r="D65" s="277"/>
      <c r="E65" s="277"/>
      <c r="F65" s="277"/>
      <c r="G65" s="277"/>
      <c r="H65" s="277"/>
    </row>
    <row r="66" spans="3:11" ht="19.5">
      <c r="C66" s="39"/>
      <c r="D66" s="277"/>
      <c r="E66" s="277"/>
      <c r="F66" s="277"/>
      <c r="G66" s="277"/>
      <c r="H66" s="277"/>
    </row>
    <row r="67" spans="3:11" ht="19.5">
      <c r="C67" s="39"/>
      <c r="D67" s="277"/>
      <c r="E67" s="277"/>
      <c r="F67" s="277"/>
      <c r="G67" s="277"/>
      <c r="H67" s="277"/>
    </row>
    <row r="68" spans="3:11" ht="19.5">
      <c r="C68" s="39"/>
      <c r="D68" s="277"/>
      <c r="E68" s="277"/>
      <c r="F68" s="277"/>
      <c r="G68" s="277"/>
      <c r="H68" s="277"/>
    </row>
    <row r="69" spans="3:11" ht="19.5">
      <c r="C69" s="39"/>
      <c r="D69" s="277"/>
      <c r="E69" s="277"/>
      <c r="F69" s="277"/>
      <c r="G69" s="277"/>
      <c r="H69" s="277"/>
    </row>
    <row r="70" spans="3:11" ht="19.5">
      <c r="C70" s="39"/>
      <c r="D70" s="277"/>
      <c r="E70" s="277"/>
      <c r="F70" s="277"/>
      <c r="G70" s="277"/>
      <c r="H70" s="277"/>
    </row>
    <row r="71" spans="3:11" ht="19.5">
      <c r="C71" s="39"/>
      <c r="D71" s="277"/>
      <c r="E71" s="277"/>
      <c r="F71" s="277"/>
      <c r="G71" s="277"/>
      <c r="H71" s="277"/>
    </row>
    <row r="72" spans="3:11" ht="19.5">
      <c r="C72" s="39"/>
      <c r="D72" s="277"/>
      <c r="E72" s="277"/>
      <c r="F72" s="277"/>
      <c r="G72" s="277"/>
      <c r="H72" s="277"/>
    </row>
    <row r="73" spans="3:11">
      <c r="D73" s="270"/>
      <c r="E73" s="270"/>
      <c r="F73" s="270"/>
      <c r="G73" s="270"/>
      <c r="H73" s="270"/>
      <c r="I73" s="270"/>
      <c r="J73" s="270"/>
      <c r="K73" s="270"/>
    </row>
    <row r="74" spans="3:11">
      <c r="D74" s="270"/>
      <c r="E74" s="270"/>
      <c r="F74" s="270"/>
      <c r="G74" s="270"/>
      <c r="H74" s="270"/>
      <c r="I74" s="270"/>
      <c r="J74" s="270"/>
      <c r="K74" s="270"/>
    </row>
    <row r="75" spans="3:11">
      <c r="D75" s="277"/>
      <c r="E75" s="277"/>
      <c r="F75" s="277"/>
      <c r="G75" s="277"/>
      <c r="H75" s="277"/>
    </row>
    <row r="76" spans="3:11">
      <c r="D76" s="277"/>
      <c r="E76" s="277"/>
      <c r="F76" s="277"/>
      <c r="G76" s="277"/>
      <c r="H76" s="277"/>
    </row>
    <row r="77" spans="3:11">
      <c r="D77" s="277"/>
      <c r="E77" s="277"/>
      <c r="F77" s="277"/>
      <c r="G77" s="277"/>
      <c r="H77" s="277"/>
    </row>
    <row r="78" spans="3:11">
      <c r="D78" s="277"/>
      <c r="E78" s="277"/>
      <c r="F78" s="277"/>
      <c r="G78" s="277"/>
      <c r="H78" s="277"/>
    </row>
    <row r="79" spans="3:11">
      <c r="D79" s="277"/>
      <c r="E79" s="277"/>
      <c r="F79" s="277"/>
      <c r="G79" s="277"/>
      <c r="H79" s="277"/>
    </row>
    <row r="83" spans="1:8">
      <c r="D83" s="277"/>
      <c r="E83" s="277"/>
      <c r="F83" s="277"/>
      <c r="G83" s="277"/>
      <c r="H83" s="277"/>
    </row>
    <row r="84" spans="1:8">
      <c r="D84" s="277"/>
      <c r="E84" s="277"/>
      <c r="F84" s="277"/>
      <c r="G84" s="277"/>
      <c r="H84" s="277"/>
    </row>
    <row r="85" spans="1:8">
      <c r="D85" s="277"/>
      <c r="E85" s="277"/>
      <c r="F85" s="277"/>
      <c r="G85" s="277"/>
      <c r="H85" s="277"/>
    </row>
    <row r="86" spans="1:8">
      <c r="D86" s="277"/>
      <c r="E86" s="277"/>
      <c r="F86" s="277"/>
      <c r="G86" s="277"/>
      <c r="H86" s="277"/>
    </row>
    <row r="87" spans="1:8">
      <c r="D87" s="277"/>
      <c r="E87" s="277"/>
      <c r="F87" s="277"/>
      <c r="G87" s="277"/>
      <c r="H87" s="277"/>
    </row>
    <row r="88" spans="1:8">
      <c r="D88" s="277"/>
      <c r="E88" s="277"/>
      <c r="F88" s="277"/>
      <c r="G88" s="277"/>
      <c r="H88" s="277"/>
    </row>
    <row r="89" spans="1:8">
      <c r="D89" s="277"/>
      <c r="E89" s="277"/>
      <c r="F89" s="277"/>
      <c r="G89" s="277"/>
      <c r="H89" s="277"/>
    </row>
    <row r="90" spans="1:8">
      <c r="D90" s="277"/>
      <c r="E90" s="277"/>
      <c r="F90" s="277"/>
      <c r="G90" s="277"/>
      <c r="H90" s="277"/>
    </row>
    <row r="91" spans="1:8">
      <c r="D91" s="277"/>
      <c r="E91" s="277"/>
      <c r="F91" s="277"/>
      <c r="G91" s="277"/>
      <c r="H91" s="277"/>
    </row>
    <row r="92" spans="1:8">
      <c r="D92" s="277"/>
      <c r="E92" s="277"/>
      <c r="F92" s="277"/>
      <c r="G92" s="277"/>
      <c r="H92" s="277"/>
    </row>
    <row r="93" spans="1:8">
      <c r="D93" s="277"/>
      <c r="E93" s="277"/>
      <c r="F93" s="277"/>
      <c r="G93" s="277"/>
      <c r="H93" s="277"/>
    </row>
    <row r="95" spans="1:8">
      <c r="D95" s="277"/>
      <c r="E95" s="277"/>
      <c r="F95" s="277"/>
      <c r="G95" s="277"/>
      <c r="H95" s="277"/>
    </row>
    <row r="96" spans="1:8" ht="56.25">
      <c r="A96" s="331" t="s">
        <v>519</v>
      </c>
      <c r="D96" s="277"/>
      <c r="E96" s="277"/>
      <c r="F96" s="277"/>
      <c r="G96" s="277"/>
      <c r="H96" s="277" t="s">
        <v>520</v>
      </c>
    </row>
    <row r="97" spans="1:8">
      <c r="A97" s="4" t="s">
        <v>68</v>
      </c>
      <c r="D97" s="277"/>
      <c r="E97" s="277"/>
      <c r="F97" s="277"/>
      <c r="G97" s="277"/>
      <c r="H97" s="277"/>
    </row>
    <row r="98" spans="1:8">
      <c r="D98" s="277"/>
      <c r="E98" s="277"/>
      <c r="F98" s="277"/>
      <c r="G98" s="277"/>
      <c r="H98" s="277"/>
    </row>
    <row r="99" spans="1:8">
      <c r="D99" s="277"/>
      <c r="E99" s="277"/>
      <c r="F99" s="277"/>
      <c r="G99" s="277"/>
      <c r="H99" s="277"/>
    </row>
    <row r="100" spans="1:8">
      <c r="D100" s="277"/>
      <c r="E100" s="277"/>
      <c r="F100" s="277"/>
      <c r="G100" s="277"/>
      <c r="H100" s="277"/>
    </row>
    <row r="101" spans="1:8">
      <c r="D101" s="277"/>
      <c r="E101" s="277"/>
      <c r="F101" s="277"/>
      <c r="G101" s="277"/>
      <c r="H101" s="277"/>
    </row>
    <row r="102" spans="1:8">
      <c r="D102" s="277"/>
      <c r="E102" s="277"/>
      <c r="F102" s="277"/>
      <c r="G102" s="277"/>
      <c r="H102" s="277"/>
    </row>
    <row r="103" spans="1:8">
      <c r="D103" s="277"/>
      <c r="E103" s="277"/>
      <c r="F103" s="277"/>
      <c r="G103" s="277"/>
      <c r="H103" s="277"/>
    </row>
    <row r="104" spans="1:8">
      <c r="D104" s="277"/>
      <c r="E104" s="277"/>
      <c r="F104" s="277"/>
      <c r="G104" s="277"/>
      <c r="H104" s="277"/>
    </row>
    <row r="105" spans="1:8">
      <c r="D105" s="277"/>
      <c r="E105" s="277"/>
      <c r="F105" s="277"/>
      <c r="G105" s="277"/>
      <c r="H105" s="277"/>
    </row>
    <row r="106" spans="1:8">
      <c r="D106" s="277"/>
      <c r="E106" s="277"/>
      <c r="F106" s="277"/>
      <c r="G106" s="277"/>
      <c r="H106" s="277"/>
    </row>
    <row r="107" spans="1:8">
      <c r="D107" s="277"/>
      <c r="E107" s="277"/>
      <c r="F107" s="277"/>
      <c r="G107" s="277"/>
      <c r="H107" s="277"/>
    </row>
    <row r="110" spans="1:8">
      <c r="E110" s="277"/>
      <c r="F110" s="277"/>
      <c r="G110" s="277"/>
      <c r="H110" s="277"/>
    </row>
    <row r="111" spans="1:8">
      <c r="E111" s="277"/>
      <c r="F111" s="277"/>
      <c r="G111" s="277"/>
      <c r="H111" s="277"/>
    </row>
    <row r="117" spans="1:8">
      <c r="A117" s="316"/>
      <c r="E117" s="277"/>
      <c r="F117" s="277"/>
      <c r="G117" s="277"/>
      <c r="H117" s="277"/>
    </row>
    <row r="118" spans="1:8">
      <c r="A118" s="4"/>
      <c r="E118" s="277"/>
      <c r="F118" s="277"/>
      <c r="G118" s="277"/>
      <c r="H118" s="277"/>
    </row>
    <row r="119" spans="1:8">
      <c r="E119" s="277"/>
      <c r="F119" s="277"/>
      <c r="G119" s="277"/>
      <c r="H119" s="277"/>
    </row>
    <row r="120" spans="1:8">
      <c r="E120" s="277"/>
      <c r="F120" s="277"/>
      <c r="G120" s="277"/>
      <c r="H120" s="277"/>
    </row>
    <row r="121" spans="1:8">
      <c r="E121" s="277"/>
      <c r="F121" s="277"/>
      <c r="G121" s="277"/>
      <c r="H121" s="277"/>
    </row>
    <row r="122" spans="1:8">
      <c r="E122" s="277"/>
      <c r="F122" s="277"/>
      <c r="G122" s="277"/>
      <c r="H122" s="277"/>
    </row>
    <row r="123" spans="1:8">
      <c r="E123" s="277"/>
      <c r="F123" s="277"/>
      <c r="G123" s="277"/>
      <c r="H123" s="277"/>
    </row>
    <row r="124" spans="1:8">
      <c r="E124" s="277"/>
      <c r="F124" s="277"/>
      <c r="G124" s="277"/>
      <c r="H124" s="277"/>
    </row>
    <row r="125" spans="1:8">
      <c r="E125" s="277"/>
      <c r="F125" s="277"/>
      <c r="G125" s="277"/>
      <c r="H125" s="277"/>
    </row>
    <row r="126" spans="1:8">
      <c r="E126" s="277"/>
      <c r="F126" s="277"/>
      <c r="G126" s="277"/>
      <c r="H126" s="277"/>
    </row>
    <row r="127" spans="1:8">
      <c r="E127" s="277"/>
      <c r="F127" s="277"/>
      <c r="G127" s="277"/>
      <c r="H127" s="277"/>
    </row>
    <row r="128" spans="1:8">
      <c r="E128" s="277"/>
      <c r="F128" s="277"/>
      <c r="G128" s="277"/>
      <c r="H128" s="277"/>
    </row>
    <row r="165" spans="1:8">
      <c r="G165" s="277"/>
      <c r="H165" s="277"/>
    </row>
    <row r="166" spans="1:8">
      <c r="G166" s="277"/>
      <c r="H166" s="277"/>
    </row>
    <row r="167" spans="1:8">
      <c r="G167" s="277"/>
      <c r="H167" s="277"/>
    </row>
    <row r="168" spans="1:8">
      <c r="G168" s="277"/>
      <c r="H168" s="277"/>
    </row>
    <row r="169" spans="1:8">
      <c r="G169" s="277"/>
      <c r="H169" s="277"/>
    </row>
    <row r="170" spans="1:8">
      <c r="G170" s="277"/>
      <c r="H170" s="277"/>
    </row>
    <row r="171" spans="1:8">
      <c r="G171" s="277"/>
      <c r="H171" s="277"/>
    </row>
    <row r="176" spans="1:8">
      <c r="A176" s="4"/>
    </row>
  </sheetData>
  <mergeCells count="272">
    <mergeCell ref="AC28:AF28"/>
    <mergeCell ref="AD29:AD30"/>
    <mergeCell ref="AE29:AE30"/>
    <mergeCell ref="AF29:AF30"/>
    <mergeCell ref="V29:V30"/>
    <mergeCell ref="B28:L30"/>
    <mergeCell ref="Q28:T28"/>
    <mergeCell ref="Y28:AB28"/>
    <mergeCell ref="Y29:Y30"/>
    <mergeCell ref="Z29:Z30"/>
    <mergeCell ref="AA29:AA30"/>
    <mergeCell ref="AB29:AB30"/>
    <mergeCell ref="AA42:AF44"/>
    <mergeCell ref="AD41:AF41"/>
    <mergeCell ref="AC29:AC30"/>
    <mergeCell ref="I10:K10"/>
    <mergeCell ref="U28:X28"/>
    <mergeCell ref="S29:S30"/>
    <mergeCell ref="W29:W30"/>
    <mergeCell ref="X29:X30"/>
    <mergeCell ref="AA46:AF46"/>
    <mergeCell ref="D42:E44"/>
    <mergeCell ref="V42:Z44"/>
    <mergeCell ref="AA45:AF45"/>
    <mergeCell ref="T29:T30"/>
    <mergeCell ref="B46:C46"/>
    <mergeCell ref="T46:U46"/>
    <mergeCell ref="U29:U30"/>
    <mergeCell ref="T45:U45"/>
    <mergeCell ref="P43:U43"/>
    <mergeCell ref="F50:G50"/>
    <mergeCell ref="J48:K48"/>
    <mergeCell ref="D51:E51"/>
    <mergeCell ref="F51:G51"/>
    <mergeCell ref="AD27:AF27"/>
    <mergeCell ref="AA51:AF51"/>
    <mergeCell ref="AA47:AF47"/>
    <mergeCell ref="AA48:AF48"/>
    <mergeCell ref="AA49:AF49"/>
    <mergeCell ref="AA50:AF50"/>
    <mergeCell ref="D50:E50"/>
    <mergeCell ref="B50:C50"/>
    <mergeCell ref="B48:C48"/>
    <mergeCell ref="D46:E46"/>
    <mergeCell ref="B47:C47"/>
    <mergeCell ref="B49:C49"/>
    <mergeCell ref="D48:E48"/>
    <mergeCell ref="D49:E49"/>
    <mergeCell ref="B51:C51"/>
    <mergeCell ref="J49:K49"/>
    <mergeCell ref="H48:I48"/>
    <mergeCell ref="H49:I49"/>
    <mergeCell ref="H50:I50"/>
    <mergeCell ref="H51:I51"/>
    <mergeCell ref="F48:G48"/>
    <mergeCell ref="F49:G49"/>
    <mergeCell ref="J51:K51"/>
    <mergeCell ref="J50:K50"/>
    <mergeCell ref="R51:S51"/>
    <mergeCell ref="L51:M51"/>
    <mergeCell ref="N51:O51"/>
    <mergeCell ref="P51:Q51"/>
    <mergeCell ref="R50:S50"/>
    <mergeCell ref="L50:M50"/>
    <mergeCell ref="N50:O50"/>
    <mergeCell ref="R49:S49"/>
    <mergeCell ref="P50:Q50"/>
    <mergeCell ref="L49:M49"/>
    <mergeCell ref="N49:O49"/>
    <mergeCell ref="P49:Q49"/>
    <mergeCell ref="N46:O46"/>
    <mergeCell ref="R48:S48"/>
    <mergeCell ref="R47:S47"/>
    <mergeCell ref="J47:K47"/>
    <mergeCell ref="H46:I46"/>
    <mergeCell ref="L48:M48"/>
    <mergeCell ref="N48:O48"/>
    <mergeCell ref="P48:Q48"/>
    <mergeCell ref="N47:O47"/>
    <mergeCell ref="P46:Q46"/>
    <mergeCell ref="L47:M47"/>
    <mergeCell ref="L46:M46"/>
    <mergeCell ref="Q29:Q30"/>
    <mergeCell ref="R29:R30"/>
    <mergeCell ref="B31:L31"/>
    <mergeCell ref="O29:O30"/>
    <mergeCell ref="A36:L36"/>
    <mergeCell ref="P47:Q47"/>
    <mergeCell ref="N45:O45"/>
    <mergeCell ref="D47:E47"/>
    <mergeCell ref="F47:G47"/>
    <mergeCell ref="H47:I47"/>
    <mergeCell ref="B32:L32"/>
    <mergeCell ref="B33:L33"/>
    <mergeCell ref="B34:L34"/>
    <mergeCell ref="B35:L35"/>
    <mergeCell ref="A37:L37"/>
    <mergeCell ref="A42:A44"/>
    <mergeCell ref="B42:C44"/>
    <mergeCell ref="L42:U42"/>
    <mergeCell ref="L43:M44"/>
    <mergeCell ref="J42:K44"/>
    <mergeCell ref="B45:C45"/>
    <mergeCell ref="F42:G44"/>
    <mergeCell ref="F45:G45"/>
    <mergeCell ref="H42:I44"/>
    <mergeCell ref="X8:Z8"/>
    <mergeCell ref="U8:W8"/>
    <mergeCell ref="H22:O22"/>
    <mergeCell ref="X19:Z19"/>
    <mergeCell ref="X20:Z20"/>
    <mergeCell ref="X21:Z21"/>
    <mergeCell ref="R15:Z15"/>
    <mergeCell ref="AA18:AC18"/>
    <mergeCell ref="R16:T17"/>
    <mergeCell ref="R18:T18"/>
    <mergeCell ref="AA19:AC19"/>
    <mergeCell ref="X18:Z18"/>
    <mergeCell ref="R19:T19"/>
    <mergeCell ref="L45:M45"/>
    <mergeCell ref="F46:G46"/>
    <mergeCell ref="D45:E45"/>
    <mergeCell ref="H45:I45"/>
    <mergeCell ref="J45:K45"/>
    <mergeCell ref="J46:K46"/>
    <mergeCell ref="N29:N30"/>
    <mergeCell ref="M28:P28"/>
    <mergeCell ref="D22:G22"/>
    <mergeCell ref="AA8:AC8"/>
    <mergeCell ref="AA10:AC10"/>
    <mergeCell ref="Z27:AB27"/>
    <mergeCell ref="X16:Z17"/>
    <mergeCell ref="U16:W17"/>
    <mergeCell ref="A23:Q23"/>
    <mergeCell ref="AA15:AC17"/>
    <mergeCell ref="B6:C6"/>
    <mergeCell ref="B7:C7"/>
    <mergeCell ref="P22:Q22"/>
    <mergeCell ref="P18:Q18"/>
    <mergeCell ref="P21:Q21"/>
    <mergeCell ref="D18:G18"/>
    <mergeCell ref="H18:O18"/>
    <mergeCell ref="D21:G21"/>
    <mergeCell ref="B8:C8"/>
    <mergeCell ref="D6:F6"/>
    <mergeCell ref="D7:F7"/>
    <mergeCell ref="D8:F8"/>
    <mergeCell ref="G7:Q7"/>
    <mergeCell ref="R8:T8"/>
    <mergeCell ref="R7:T7"/>
    <mergeCell ref="AD5:AF5"/>
    <mergeCell ref="AA5:AC5"/>
    <mergeCell ref="U7:W7"/>
    <mergeCell ref="AA6:AC6"/>
    <mergeCell ref="AD8:AF8"/>
    <mergeCell ref="B5:C5"/>
    <mergeCell ref="D5:F5"/>
    <mergeCell ref="X5:Z5"/>
    <mergeCell ref="AD3:AF4"/>
    <mergeCell ref="AA3:AC4"/>
    <mergeCell ref="R3:Z3"/>
    <mergeCell ref="R4:T4"/>
    <mergeCell ref="G5:Q5"/>
    <mergeCell ref="A3:A4"/>
    <mergeCell ref="U6:W6"/>
    <mergeCell ref="U4:W4"/>
    <mergeCell ref="X4:Z4"/>
    <mergeCell ref="R5:T5"/>
    <mergeCell ref="U5:W5"/>
    <mergeCell ref="G3:Q4"/>
    <mergeCell ref="B3:C4"/>
    <mergeCell ref="D3:F4"/>
    <mergeCell ref="G6:Q6"/>
    <mergeCell ref="AA7:AC7"/>
    <mergeCell ref="X7:Z7"/>
    <mergeCell ref="X6:Z6"/>
    <mergeCell ref="AD7:AF7"/>
    <mergeCell ref="AD6:AF6"/>
    <mergeCell ref="R6:T6"/>
    <mergeCell ref="U9:W9"/>
    <mergeCell ref="X9:Z9"/>
    <mergeCell ref="R9:T9"/>
    <mergeCell ref="R10:T10"/>
    <mergeCell ref="AD10:AF10"/>
    <mergeCell ref="AD9:AF9"/>
    <mergeCell ref="AA9:AC9"/>
    <mergeCell ref="U10:W10"/>
    <mergeCell ref="X10:Z10"/>
    <mergeCell ref="N43:O44"/>
    <mergeCell ref="AD15:AF17"/>
    <mergeCell ref="P15:Q17"/>
    <mergeCell ref="P29:P30"/>
    <mergeCell ref="H21:O21"/>
    <mergeCell ref="U18:W18"/>
    <mergeCell ref="R23:T23"/>
    <mergeCell ref="U22:W22"/>
    <mergeCell ref="AA23:AC23"/>
    <mergeCell ref="AD22:AF22"/>
    <mergeCell ref="T49:U49"/>
    <mergeCell ref="V49:Z49"/>
    <mergeCell ref="T48:U48"/>
    <mergeCell ref="V48:Z48"/>
    <mergeCell ref="V47:Z47"/>
    <mergeCell ref="T47:U47"/>
    <mergeCell ref="V45:Z45"/>
    <mergeCell ref="T44:U44"/>
    <mergeCell ref="R46:S46"/>
    <mergeCell ref="P45:Q45"/>
    <mergeCell ref="P44:Q44"/>
    <mergeCell ref="R44:S44"/>
    <mergeCell ref="R45:S45"/>
    <mergeCell ref="T51:U51"/>
    <mergeCell ref="B57:G57"/>
    <mergeCell ref="W57:AA57"/>
    <mergeCell ref="M56:Q56"/>
    <mergeCell ref="M57:Q57"/>
    <mergeCell ref="V51:Z51"/>
    <mergeCell ref="R52:S52"/>
    <mergeCell ref="H52:I52"/>
    <mergeCell ref="L52:M52"/>
    <mergeCell ref="N52:O52"/>
    <mergeCell ref="B56:G56"/>
    <mergeCell ref="W56:AA56"/>
    <mergeCell ref="T52:U52"/>
    <mergeCell ref="V52:Z52"/>
    <mergeCell ref="J52:K52"/>
    <mergeCell ref="P52:Q52"/>
    <mergeCell ref="F52:G52"/>
    <mergeCell ref="A52:E52"/>
    <mergeCell ref="AA52:AF52"/>
    <mergeCell ref="T50:U50"/>
    <mergeCell ref="G8:Q8"/>
    <mergeCell ref="V50:Z50"/>
    <mergeCell ref="G9:Q9"/>
    <mergeCell ref="D19:G19"/>
    <mergeCell ref="D20:G20"/>
    <mergeCell ref="P19:Q19"/>
    <mergeCell ref="P20:Q20"/>
    <mergeCell ref="H15:O17"/>
    <mergeCell ref="V46:Z46"/>
    <mergeCell ref="B9:C9"/>
    <mergeCell ref="H19:O19"/>
    <mergeCell ref="H20:O20"/>
    <mergeCell ref="D9:F9"/>
    <mergeCell ref="B15:C17"/>
    <mergeCell ref="B21:C21"/>
    <mergeCell ref="D15:G17"/>
    <mergeCell ref="AD23:AF23"/>
    <mergeCell ref="U20:W20"/>
    <mergeCell ref="U21:W21"/>
    <mergeCell ref="AA22:AC22"/>
    <mergeCell ref="X22:Z22"/>
    <mergeCell ref="X23:Z23"/>
    <mergeCell ref="U23:W23"/>
    <mergeCell ref="AD21:AF21"/>
    <mergeCell ref="AA21:AC21"/>
    <mergeCell ref="AD18:AF18"/>
    <mergeCell ref="AD19:AF19"/>
    <mergeCell ref="AD20:AF20"/>
    <mergeCell ref="AA20:AC20"/>
    <mergeCell ref="B20:C20"/>
    <mergeCell ref="R20:T20"/>
    <mergeCell ref="A10:B10"/>
    <mergeCell ref="A15:A17"/>
    <mergeCell ref="A28:A30"/>
    <mergeCell ref="B18:C18"/>
    <mergeCell ref="B19:C19"/>
    <mergeCell ref="U19:W19"/>
    <mergeCell ref="R22:T22"/>
    <mergeCell ref="B22:C22"/>
    <mergeCell ref="R21:T21"/>
    <mergeCell ref="M29:M30"/>
  </mergeCells>
  <phoneticPr fontId="3" type="noConversion"/>
  <pageMargins left="0.78740157480314965" right="7.874015748031496E-2" top="0.78740157480314965" bottom="0.78740157480314965" header="0.31496062992125984" footer="0.31496062992125984"/>
  <pageSetup paperSize="9" scale="35" orientation="landscape" verticalDpi="1200" r:id="rId1"/>
  <headerFooter alignWithMargins="0">
    <oddHeader>&amp;C&amp;"Times New Roman,обычный"&amp;16
 &amp;14 15&amp;R&amp;"Times New Roman,обычный"&amp;14Продовження додатка 3
Таблиця 6</oddHeader>
  </headerFooter>
  <ignoredErrors>
    <ignoredError sqref="AE37:AF37 R10 R23 M36 F52:G52" formulaRange="1"/>
    <ignoredError sqref="AA37:AB37 O37 M37 P37:Q37 S37:U37 W37:Y37" evalError="1" formulaRange="1"/>
    <ignoredError sqref="AC37:AD37 P35 N37 R37 V37 Z37 P33:P34 X32 AD6:AF6 T33:T34 AD19:AF19 X33:X34 P32 X35 T32 T35 AB33:AB34 AB32 AB35" evalError="1"/>
    <ignoredError sqref="AC36:AD36 P36:Q36 Y36:Z36 U36:V36" evalError="1" formula="1" formulaRange="1"/>
    <ignoredError sqref="T36 X36 AB36" evalError="1" formula="1"/>
    <ignoredError sqref="W36 AA3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13</vt:i4>
      </vt:variant>
    </vt:vector>
  </HeadingPairs>
  <TitlesOfParts>
    <vt:vector size="22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Лист1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User</cp:lastModifiedBy>
  <cp:lastPrinted>2021-05-20T15:36:00Z</cp:lastPrinted>
  <dcterms:created xsi:type="dcterms:W3CDTF">2003-03-13T16:00:22Z</dcterms:created>
  <dcterms:modified xsi:type="dcterms:W3CDTF">2021-10-07T07:46:36Z</dcterms:modified>
</cp:coreProperties>
</file>