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10" tabRatio="915" activeTab="0"/>
  </bookViews>
  <sheets>
    <sheet name="Осн. фін. пок." sheetId="1" r:id="rId1"/>
    <sheet name="I. Фін результат" sheetId="2" r:id="rId2"/>
    <sheet name="ІІ. Розр. з бюджетом" sheetId="3" r:id="rId3"/>
    <sheet name="ІІІ. Рух грош. коштів" sheetId="4" r:id="rId4"/>
    <sheet name="IV. Кап. інвестиції" sheetId="5" r:id="rId5"/>
    <sheet name=" V. Коефіцієнти" sheetId="6" r:id="rId6"/>
    <sheet name="6.1. Інша інфо_1" sheetId="7" r:id="rId7"/>
    <sheet name="6.2. Інша інфо_2"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123Graph_XGRAPH3" hidden="1">'[1]GDP'!#REF!</definedName>
    <definedName name="aa">'[2]1993'!$1:$3,'[2]1993'!$A:$A</definedName>
    <definedName name="ad">'[3]МТР Газ України'!$B$1</definedName>
    <definedName name="as">'[4]МТР Газ України'!$B$1</definedName>
    <definedName name="asdf">'[5]Inform'!$E$6</definedName>
    <definedName name="asdfg">'[5]Inform'!$F$2</definedName>
    <definedName name="BuiltIn_Print_Area___1___1">#REF!</definedName>
    <definedName name="ClDate">'[6]Inform'!$E$6</definedName>
    <definedName name="ClDate_21">'[7]Inform'!$E$6</definedName>
    <definedName name="ClDate_25">'[7]Inform'!$E$6</definedName>
    <definedName name="ClDate_6">'[8]Inform'!$E$6</definedName>
    <definedName name="CompName">'[6]Inform'!$F$2</definedName>
    <definedName name="CompName_21">'[7]Inform'!$F$2</definedName>
    <definedName name="CompName_25">'[7]Inform'!$F$2</definedName>
    <definedName name="CompName_6">'[8]Inform'!$F$2</definedName>
    <definedName name="CompNameE">'[6]Inform'!$G$2</definedName>
    <definedName name="CompNameE_21">'[7]Inform'!$G$2</definedName>
    <definedName name="CompNameE_25">'[7]Inform'!$G$2</definedName>
    <definedName name="CompNameE_6">'[8]Inform'!$G$2</definedName>
    <definedName name="Cost_Category_National_ID">#REF!</definedName>
    <definedName name="Cе511">#REF!</definedName>
    <definedName name="d">'[9]МТР Газ України'!$B$4</definedName>
    <definedName name="DATABASE">'[25]Ener '!$A$1:$G$2645</definedName>
    <definedName name="dCPIb">'[10]попер_роз'!#REF!</definedName>
    <definedName name="dPPIb">'[10]попер_роз'!#REF!</definedName>
    <definedName name="ds">'[11]7  Інші витрати'!#REF!</definedName>
    <definedName name="Fact_Type_ID">#REF!</definedName>
    <definedName name="G">'[12]МТР Газ України'!$B$1</definedName>
    <definedName name="ij1sssss">'[13]7  Інші витрати'!#REF!</definedName>
    <definedName name="LastItem">'[14]Лист1'!$A$1</definedName>
    <definedName name="Load">'[15]МТР Газ України'!$B$4</definedName>
    <definedName name="Load_ID">'[16]МТР Газ України'!$B$4</definedName>
    <definedName name="Load_ID_10">'[17]7  Інші витрати'!#REF!</definedName>
    <definedName name="Load_ID_11">'[18]МТР Газ України'!$B$4</definedName>
    <definedName name="Load_ID_12">'[18]МТР Газ України'!$B$4</definedName>
    <definedName name="Load_ID_13">'[18]МТР Газ України'!$B$4</definedName>
    <definedName name="Load_ID_14">'[18]МТР Газ України'!$B$4</definedName>
    <definedName name="Load_ID_15">'[18]МТР Газ України'!$B$4</definedName>
    <definedName name="Load_ID_16">'[18]МТР Газ України'!$B$4</definedName>
    <definedName name="Load_ID_17">'[18]МТР Газ України'!$B$4</definedName>
    <definedName name="Load_ID_18">'[19]МТР Газ України'!$B$4</definedName>
    <definedName name="Load_ID_19">'[20]МТР Газ України'!$B$4</definedName>
    <definedName name="Load_ID_20">'[19]МТР Газ України'!$B$4</definedName>
    <definedName name="Load_ID_200">'[15]МТР Газ України'!$B$4</definedName>
    <definedName name="Load_ID_21">'[21]МТР Газ України'!$B$4</definedName>
    <definedName name="Load_ID_23">'[20]МТР Газ України'!$B$4</definedName>
    <definedName name="Load_ID_25">'[21]МТР Газ України'!$B$4</definedName>
    <definedName name="Load_ID_542">'[22]МТР Газ України'!$B$4</definedName>
    <definedName name="Load_ID_6">'[18]МТР Газ України'!$B$4</definedName>
    <definedName name="OpDate">'[6]Inform'!$E$5</definedName>
    <definedName name="OpDate_21">'[7]Inform'!$E$5</definedName>
    <definedName name="OpDate_25">'[7]Inform'!$E$5</definedName>
    <definedName name="OpDate_6">'[8]Inform'!$E$5</definedName>
    <definedName name="_xlnm.Print_Area" localSheetId="5">' V. Коефіцієнти'!$A$1:$H$28</definedName>
    <definedName name="_xlnm.Print_Area" localSheetId="6">'6.1. Інша інфо_1'!$A$1:$O$75</definedName>
    <definedName name="_xlnm.Print_Area" localSheetId="7">'6.2. Інша інфо_2'!$A$1:$AF$60</definedName>
    <definedName name="_xlnm.Print_Area" localSheetId="1">'I. Фін результат'!$A$1:$I$118</definedName>
    <definedName name="_xlnm.Print_Area" localSheetId="4">'IV. Кап. інвестиції'!$A$1:$H$17</definedName>
    <definedName name="_xlnm.Print_Area" localSheetId="2">'ІІ. Розр. з бюджетом'!$A$1:$H$48</definedName>
    <definedName name="_xlnm.Print_Area" localSheetId="3">'ІІІ. Рух грош. коштів'!$A$1:$H$86</definedName>
    <definedName name="_xlnm.Print_Area" localSheetId="0">'Осн. фін. пок.'!$A$1:$H$168</definedName>
    <definedName name="_xlnm.Print_Titles" localSheetId="5">' V. Коефіцієнти'!$5:$5</definedName>
    <definedName name="_xlnm.Print_Titles" localSheetId="1">'I. Фін результат'!$3:$5</definedName>
    <definedName name="_xlnm.Print_Titles" localSheetId="2">'ІІ. Розр. з бюджетом'!$3:$5</definedName>
    <definedName name="_xlnm.Print_Titles" localSheetId="3">'ІІІ. Рух грош. коштів'!$3:$5</definedName>
    <definedName name="_xlnm.Print_Titles" localSheetId="0">'Осн. фін. пок.'!$26:$28</definedName>
    <definedName name="QR">'[23]Inform'!$E$5</definedName>
    <definedName name="qw">'[5]Inform'!$E$5</definedName>
    <definedName name="qwert">'[5]Inform'!$G$2</definedName>
    <definedName name="qwerty">'[4]МТР Газ України'!$B$4</definedName>
    <definedName name="ShowFil">[14]!ShowFil</definedName>
    <definedName name="SU_ID">#REF!</definedName>
    <definedName name="Time_ID">'[16]МТР Газ України'!$B$1</definedName>
    <definedName name="Time_ID_10">'[17]7  Інші витрати'!#REF!</definedName>
    <definedName name="Time_ID_11">'[18]МТР Газ України'!$B$1</definedName>
    <definedName name="Time_ID_12">'[18]МТР Газ України'!$B$1</definedName>
    <definedName name="Time_ID_13">'[18]МТР Газ України'!$B$1</definedName>
    <definedName name="Time_ID_14">'[18]МТР Газ України'!$B$1</definedName>
    <definedName name="Time_ID_15">'[18]МТР Газ України'!$B$1</definedName>
    <definedName name="Time_ID_16">'[18]МТР Газ України'!$B$1</definedName>
    <definedName name="Time_ID_17">'[18]МТР Газ України'!$B$1</definedName>
    <definedName name="Time_ID_18">'[19]МТР Газ України'!$B$1</definedName>
    <definedName name="Time_ID_19">'[20]МТР Газ України'!$B$1</definedName>
    <definedName name="Time_ID_20">'[19]МТР Газ України'!$B$1</definedName>
    <definedName name="Time_ID_21">'[21]МТР Газ України'!$B$1</definedName>
    <definedName name="Time_ID_23">'[20]МТР Газ України'!$B$1</definedName>
    <definedName name="Time_ID_25">'[21]МТР Газ України'!$B$1</definedName>
    <definedName name="Time_ID_6">'[18]МТР Газ України'!$B$1</definedName>
    <definedName name="Time_ID0">'[16]МТР Газ України'!$F$1</definedName>
    <definedName name="Time_ID0_10">'[17]7  Інші витрати'!#REF!</definedName>
    <definedName name="Time_ID0_11">'[18]МТР Газ України'!$F$1</definedName>
    <definedName name="Time_ID0_12">'[18]МТР Газ України'!$F$1</definedName>
    <definedName name="Time_ID0_13">'[18]МТР Газ України'!$F$1</definedName>
    <definedName name="Time_ID0_14">'[18]МТР Газ України'!$F$1</definedName>
    <definedName name="Time_ID0_15">'[18]МТР Газ України'!$F$1</definedName>
    <definedName name="Time_ID0_16">'[18]МТР Газ України'!$F$1</definedName>
    <definedName name="Time_ID0_17">'[18]МТР Газ України'!$F$1</definedName>
    <definedName name="Time_ID0_18">'[19]МТР Газ України'!$F$1</definedName>
    <definedName name="Time_ID0_19">'[20]МТР Газ України'!$F$1</definedName>
    <definedName name="Time_ID0_20">'[19]МТР Газ України'!$F$1</definedName>
    <definedName name="Time_ID0_21">'[21]МТР Газ України'!$F$1</definedName>
    <definedName name="Time_ID0_23">'[20]МТР Газ України'!$F$1</definedName>
    <definedName name="Time_ID0_25">'[21]МТР Газ України'!$F$1</definedName>
    <definedName name="Time_ID0_6">'[18]МТР Газ України'!$F$1</definedName>
    <definedName name="ttttttt">#REF!</definedName>
    <definedName name="Unit">'[6]Inform'!$E$38</definedName>
    <definedName name="Unit_21">'[7]Inform'!$E$38</definedName>
    <definedName name="Unit_25">'[7]Inform'!$E$38</definedName>
    <definedName name="Unit_6">'[8]Inform'!$E$38</definedName>
    <definedName name="WQER">'[24]МТР Газ України'!$B$4</definedName>
    <definedName name="wr">'[24]МТР Газ України'!$B$4</definedName>
    <definedName name="yyyy">#REF!</definedName>
    <definedName name="zx">'[4]МТР Газ України'!$F$1</definedName>
    <definedName name="zxc">'[5]Inform'!$E$38</definedName>
    <definedName name="а">'[13]7  Інші витрати'!#REF!</definedName>
    <definedName name="ав">#REF!</definedName>
    <definedName name="аен">'[24]МТР Газ України'!$B$4</definedName>
    <definedName name="в">'[26]МТР Газ України'!$F$1</definedName>
    <definedName name="ватт">'[27]БАЗА  '!#REF!</definedName>
    <definedName name="Д">'[15]МТР Газ України'!$B$4</definedName>
    <definedName name="е">#REF!</definedName>
    <definedName name="є">#REF!</definedName>
    <definedName name="Заголовки_для_печати_МИ">'[28]1993'!$1:$3,'[28]1993'!$A:$A</definedName>
    <definedName name="йуц">#REF!</definedName>
    <definedName name="йцу">#REF!</definedName>
    <definedName name="йцуйй">#REF!</definedName>
    <definedName name="йцукц">'[29]7  Інші витрати'!#REF!</definedName>
    <definedName name="і">'[30]Inform'!$F$2</definedName>
    <definedName name="ів">#REF!</definedName>
    <definedName name="ів___0">#REF!</definedName>
    <definedName name="ів_22">#REF!</definedName>
    <definedName name="ів_26">#REF!</definedName>
    <definedName name="іваіа">'[29]7  Інші витрати'!#REF!</definedName>
    <definedName name="іваф">#REF!</definedName>
    <definedName name="івів">'[12]МТР Газ України'!$B$1</definedName>
    <definedName name="іцу">'[23]Inform'!$G$2</definedName>
    <definedName name="КЕ">#REF!</definedName>
    <definedName name="КЕ___0">#REF!</definedName>
    <definedName name="КЕ_22">#REF!</definedName>
    <definedName name="КЕ_26">#REF!</definedName>
    <definedName name="кен">#REF!</definedName>
    <definedName name="л">#REF!</definedName>
    <definedName name="_xlnm.Print_Area" localSheetId="1">'I. Фін результат'!$A$1:$I$118</definedName>
    <definedName name="п">'[13]7  Інші витрати'!#REF!</definedName>
    <definedName name="пдв">'[15]МТР Газ України'!$B$4</definedName>
    <definedName name="пдв_утг">'[15]МТР Газ України'!$F$1</definedName>
    <definedName name="План">#REF!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#REF!</definedName>
    <definedName name="ппп">'[31]Inform'!$E$6</definedName>
    <definedName name="р">#REF!</definedName>
    <definedName name="т">'[32]Inform'!$E$6</definedName>
    <definedName name="тариф">'[33]Inform'!$G$2</definedName>
    <definedName name="уйцукйцуйу">#REF!</definedName>
    <definedName name="уке">'[34]Inform'!$G$2</definedName>
    <definedName name="УТГ">'[15]МТР Газ України'!$B$4</definedName>
    <definedName name="фів">'[24]МТР Газ України'!$B$4</definedName>
    <definedName name="фіваіф">'[29]7  Інші витрати'!#REF!</definedName>
    <definedName name="фф">'[26]МТР Газ України'!$F$1</definedName>
    <definedName name="ц">'[13]7  Інші витрати'!#REF!</definedName>
    <definedName name="ччч">'[35]БАЗА  '!#REF!</definedName>
    <definedName name="ш">#REF!</definedName>
  </definedNames>
  <calcPr fullCalcOnLoad="1"/>
</workbook>
</file>

<file path=xl/sharedStrings.xml><?xml version="1.0" encoding="utf-8"?>
<sst xmlns="http://schemas.openxmlformats.org/spreadsheetml/2006/main" count="1034" uniqueCount="543">
  <si>
    <t>Додаток 3</t>
  </si>
  <si>
    <t xml:space="preserve">до Порядку складання, затвердження </t>
  </si>
  <si>
    <t xml:space="preserve">та контролю виконання фінансового плану </t>
  </si>
  <si>
    <t>суб'єкта господарювання державного сектору економіки</t>
  </si>
  <si>
    <t>(пункт 11)</t>
  </si>
  <si>
    <t>Коди</t>
  </si>
  <si>
    <t xml:space="preserve">Підприємство  </t>
  </si>
  <si>
    <t>Комунальне некомерційне підприємство Вараської міської ради "Вараський центр первинної медичної допомоги"</t>
  </si>
  <si>
    <t xml:space="preserve">за ЄДРПОУ </t>
  </si>
  <si>
    <t xml:space="preserve">Організаційно-правова форма </t>
  </si>
  <si>
    <t>Комунальне некомерційне підприємство</t>
  </si>
  <si>
    <t>за КОПФГ</t>
  </si>
  <si>
    <t>Територія</t>
  </si>
  <si>
    <t>м.Вараш</t>
  </si>
  <si>
    <t>за КОАТУУ</t>
  </si>
  <si>
    <r>
      <rPr>
        <sz val="14"/>
        <rFont val="Times New Roman"/>
        <family val="1"/>
      </rPr>
      <t xml:space="preserve">Орган державного управління  </t>
    </r>
    <r>
      <rPr>
        <b/>
        <i/>
        <sz val="14"/>
        <rFont val="Times New Roman"/>
        <family val="1"/>
      </rPr>
      <t xml:space="preserve"> </t>
    </r>
  </si>
  <si>
    <t>за СПОДУ</t>
  </si>
  <si>
    <t xml:space="preserve">Галузь     </t>
  </si>
  <si>
    <t>Охорона здоров'я</t>
  </si>
  <si>
    <t>за ЗКГНГ</t>
  </si>
  <si>
    <t xml:space="preserve">Вид економічної діяльності    </t>
  </si>
  <si>
    <t>Загальна медична практика</t>
  </si>
  <si>
    <t xml:space="preserve">за  КВЕД  </t>
  </si>
  <si>
    <t>Одиниця виміру, тис. грн</t>
  </si>
  <si>
    <t>Стандарти звітності П(с)БОУ</t>
  </si>
  <si>
    <t>Форма власності</t>
  </si>
  <si>
    <t>Комунальна</t>
  </si>
  <si>
    <t>Стандарти звітності МСФЗ</t>
  </si>
  <si>
    <t>Середньооблікова кількість штатних працівників</t>
  </si>
  <si>
    <t xml:space="preserve">Місцезнаходження  </t>
  </si>
  <si>
    <t>М-н Перемоги буд.23/1   м.Вараш, Рівненська область, 34402</t>
  </si>
  <si>
    <t xml:space="preserve">Телефон </t>
  </si>
  <si>
    <t>"+38 (098) 388 32 26</t>
  </si>
  <si>
    <t xml:space="preserve">Прізвище та ініціали керівника  </t>
  </si>
  <si>
    <t>Мирончук Жанна Миколаївна</t>
  </si>
  <si>
    <t>ЗВІТ</t>
  </si>
  <si>
    <t xml:space="preserve">ПРО ВИКОНАННЯ ФІНАНСОВОГО ПЛАНУ ПІДПРИЄМСТВА </t>
  </si>
  <si>
    <t>Основні фінансові показники</t>
  </si>
  <si>
    <t>Найменування показника</t>
  </si>
  <si>
    <t xml:space="preserve">Код рядка </t>
  </si>
  <si>
    <t>Факт наростаючим підсумком з початку року</t>
  </si>
  <si>
    <t>Звітний період (квартал, рік)</t>
  </si>
  <si>
    <t>минулий рік</t>
  </si>
  <si>
    <t>поточний рік</t>
  </si>
  <si>
    <t xml:space="preserve">план </t>
  </si>
  <si>
    <t>факт</t>
  </si>
  <si>
    <t>відхилення,  +/–</t>
  </si>
  <si>
    <t>виконання, %</t>
  </si>
  <si>
    <t>І. Формування фінансових результатів</t>
  </si>
  <si>
    <t>Чистий дохід від реалізації продукції (товарів, робіт, послуг)</t>
  </si>
  <si>
    <t>Собівартість реалізованої продукції (товарів, робіт, послуг)</t>
  </si>
  <si>
    <t>Валовий прибуток/збиток</t>
  </si>
  <si>
    <t>Адміністративні витрати, у тому числі:</t>
  </si>
  <si>
    <t>витрати, пов'язані з використанням власних службових автомобілів</t>
  </si>
  <si>
    <t>витрати на оренду службових автомобілів</t>
  </si>
  <si>
    <t>витрати на консалтингові послуги</t>
  </si>
  <si>
    <t>витрати на страхові послуги</t>
  </si>
  <si>
    <t>витрати на аудиторські послуги</t>
  </si>
  <si>
    <t>Витрати на збут</t>
  </si>
  <si>
    <t>Інші операційні доходи, у тому числі:</t>
  </si>
  <si>
    <t>курсові різниці</t>
  </si>
  <si>
    <t>нетипові операційні доходи</t>
  </si>
  <si>
    <t>Інші операційні витрати, у тому числі:</t>
  </si>
  <si>
    <t>нетипові операційні витрати</t>
  </si>
  <si>
    <t>Фінансовий результат від операційної діяльності</t>
  </si>
  <si>
    <t>EBITDA</t>
  </si>
  <si>
    <t>Рентабельність EBITDA</t>
  </si>
  <si>
    <t>Дохід від участі в капіталі</t>
  </si>
  <si>
    <t>Втрати від участі в капіталі</t>
  </si>
  <si>
    <t>Інші фінансові доходи</t>
  </si>
  <si>
    <t>Фінансові витрати</t>
  </si>
  <si>
    <t>Інші доходи, усього, у тому числі:</t>
  </si>
  <si>
    <t>Інші витрати, усього, у тому числі:</t>
  </si>
  <si>
    <t>Фінансовий результат до оподаткування</t>
  </si>
  <si>
    <t>Витрати з податку на прибуток</t>
  </si>
  <si>
    <t>Дохід з податку на прибуток</t>
  </si>
  <si>
    <t xml:space="preserve">Прибуток від припиненої діяльності після оподаткування </t>
  </si>
  <si>
    <t xml:space="preserve">Збиток від припиненої діяльності після оподаткування </t>
  </si>
  <si>
    <t>Чистий фінансовий результат</t>
  </si>
  <si>
    <t xml:space="preserve">Прибуток </t>
  </si>
  <si>
    <t>Збиток</t>
  </si>
  <si>
    <t>Усього доходів</t>
  </si>
  <si>
    <t>Усього витрат</t>
  </si>
  <si>
    <t>Неконтрольована частка</t>
  </si>
  <si>
    <t>Елементи операційних витрат</t>
  </si>
  <si>
    <t>Матеріальні витрати, у тому числі:</t>
  </si>
  <si>
    <t>витрати на сировину та основні матеріали</t>
  </si>
  <si>
    <t>витрати на паливо та енергію</t>
  </si>
  <si>
    <t>Витрати на оплату праці</t>
  </si>
  <si>
    <t>Відрахування на соціальні заходи</t>
  </si>
  <si>
    <t>Амортизація</t>
  </si>
  <si>
    <t>Інші операційні витрати</t>
  </si>
  <si>
    <t>Усього</t>
  </si>
  <si>
    <t>IІ. Розрахунки з бюджетом</t>
  </si>
  <si>
    <t>Розподіл чистого прибутку</t>
  </si>
  <si>
    <t>Залишок нерозподіленого прибутку (непокритого збитку) на початок звітного періоду</t>
  </si>
  <si>
    <t>Нараховані до сплати відрахування частини чистого прибутку, усього, у тому числі:</t>
  </si>
  <si>
    <t>державними унітарними підприємствами та їх об'єднаннями до державного бюджету</t>
  </si>
  <si>
    <t>господарськими товариствами, у статутному капіталі яких більше 50 відсотків акцій (часток, паїв) належать державі, на виплату дивідендів</t>
  </si>
  <si>
    <t>у тому числі на державну частку</t>
  </si>
  <si>
    <t>2012/1</t>
  </si>
  <si>
    <t>Перенесено з додаткового капіталу</t>
  </si>
  <si>
    <t>Розвиток виробництва</t>
  </si>
  <si>
    <t>Резервний фонд</t>
  </si>
  <si>
    <t>Інші фонди</t>
  </si>
  <si>
    <t>Залишок нерозподіленого прибутку (непокритого збитку) на кінець звітного періоду</t>
  </si>
  <si>
    <t xml:space="preserve">Сплата податків, зборів та інших обов'язкових платежів </t>
  </si>
  <si>
    <t>Сплата податків та зборів до Державного бюджету України (податкові платежі), усього, у тому числі:</t>
  </si>
  <si>
    <t>податок на прибуток підприємств</t>
  </si>
  <si>
    <t>ПДВ, що підлягає сплаті до бюджету за підсумками звітного періоду</t>
  </si>
  <si>
    <t>ПДВ, що підлягає відшкодуванню з бюджету за підсумками звітного періоду</t>
  </si>
  <si>
    <t>акцизний податок</t>
  </si>
  <si>
    <t>відрахування частини чистого прибутку державними унітарними підприємствами та їх об'єднаннями</t>
  </si>
  <si>
    <t>рентна плата за транспортування</t>
  </si>
  <si>
    <t>рентна плата за користування надрами</t>
  </si>
  <si>
    <t>Сплата податків та зборів до місцевих бюджетів (податкові платежі)</t>
  </si>
  <si>
    <t>Інші податки, збори та платежі на користь держави,
усього, у тому числі:</t>
  </si>
  <si>
    <t>відрахування частини чистого прибутку господарськими товариствами, у статутному капіталі яких більше 50 відсотків акцій (часток, паїв) належать державі, на виплату дивідендів на державну частку</t>
  </si>
  <si>
    <t xml:space="preserve">єдиний внесок на загальнообов'язкове державне соціальне страхування               </t>
  </si>
  <si>
    <t>Усього виплат на користь держави</t>
  </si>
  <si>
    <t>IІІ. Рух грошових коштів</t>
  </si>
  <si>
    <t>Залишок коштів на початок періоду</t>
  </si>
  <si>
    <t>Цільове фінансування</t>
  </si>
  <si>
    <t>Чистий рух коштів від операційної діяльності</t>
  </si>
  <si>
    <t>Чистий рух коштів від інвестиційної діяльності </t>
  </si>
  <si>
    <t>Чистий рух коштів від фінансової діяльності</t>
  </si>
  <si>
    <t xml:space="preserve">Вплив зміни валютних курсів на залишок коштів </t>
  </si>
  <si>
    <t>Залишок коштів на кінець періоду</t>
  </si>
  <si>
    <t>ІV. Капітальні інвестиції</t>
  </si>
  <si>
    <t>Капітальні інвестиції, усього, у тому числі:</t>
  </si>
  <si>
    <t>капітальне будівництво</t>
  </si>
  <si>
    <t>4010</t>
  </si>
  <si>
    <t>придбання (виготовлення) основних засобів</t>
  </si>
  <si>
    <t>придбання (виготовлення) інших необоротних матеріальних активів</t>
  </si>
  <si>
    <t>придбання (створення) нематеріальних активів</t>
  </si>
  <si>
    <t>модернізація, модифікація (добудова, дообладнання, реконструкція) основних засобів</t>
  </si>
  <si>
    <t>капітальний ремонт</t>
  </si>
  <si>
    <t>Джерела капітальних інвестицій, усього, у тому числі:</t>
  </si>
  <si>
    <t>залучені кредитні кошти</t>
  </si>
  <si>
    <t>4000/1</t>
  </si>
  <si>
    <t>бюджетне фінансування</t>
  </si>
  <si>
    <t>4000/2</t>
  </si>
  <si>
    <r>
      <rPr>
        <sz val="15"/>
        <rFont val="Times New Roman"/>
        <family val="1"/>
      </rPr>
      <t xml:space="preserve">власні кошти </t>
    </r>
    <r>
      <rPr>
        <b/>
        <sz val="15"/>
        <rFont val="Times New Roman"/>
        <family val="1"/>
      </rPr>
      <t>(Кошти НСЗУ)</t>
    </r>
  </si>
  <si>
    <t>4000/3</t>
  </si>
  <si>
    <r>
      <rPr>
        <sz val="15"/>
        <rFont val="Times New Roman"/>
        <family val="1"/>
      </rPr>
      <t>інші джерела</t>
    </r>
    <r>
      <rPr>
        <b/>
        <sz val="15"/>
        <rFont val="Times New Roman"/>
        <family val="1"/>
      </rPr>
      <t xml:space="preserve"> (Безкоштовно отримані)</t>
    </r>
  </si>
  <si>
    <t>4000/4</t>
  </si>
  <si>
    <t>V. Коефіцієнтний аналіз</t>
  </si>
  <si>
    <t>Рентабельність діяльності</t>
  </si>
  <si>
    <t>Рентабельність активів</t>
  </si>
  <si>
    <t>Рентабельність власного капіталу</t>
  </si>
  <si>
    <t>Коефіцієнт фінансової стійкості</t>
  </si>
  <si>
    <t>Коефіцієнт зносу основних засобів</t>
  </si>
  <si>
    <t>VI. Звіт про фінансовий стан</t>
  </si>
  <si>
    <t>Необоротні активи (баланс р.1095), усього, у тому числі:</t>
  </si>
  <si>
    <t>x</t>
  </si>
  <si>
    <t>Оборотні активи (баланс р.1195), усього, у тому числі:</t>
  </si>
  <si>
    <t>Гроші та їх еквіваленти</t>
  </si>
  <si>
    <r>
      <rPr>
        <b/>
        <sz val="15"/>
        <rFont val="Times New Roman"/>
        <family val="1"/>
      </rPr>
      <t>Усього активи</t>
    </r>
    <r>
      <rPr>
        <sz val="15"/>
        <rFont val="Times New Roman"/>
        <family val="1"/>
      </rPr>
      <t xml:space="preserve"> (баланс р.1300)</t>
    </r>
  </si>
  <si>
    <t>Довгострокові зобов'язання і забезпечення (баланс р.1595)</t>
  </si>
  <si>
    <t>Поточні зобов'язання і забезпечення  (баланс р.1695)</t>
  </si>
  <si>
    <t>Усього зобов'язання і забезпечення</t>
  </si>
  <si>
    <t>У тому числі державні гранти і субсидії</t>
  </si>
  <si>
    <t>У тому числі фінансові запозичення</t>
  </si>
  <si>
    <r>
      <rPr>
        <b/>
        <sz val="15"/>
        <rFont val="Times New Roman"/>
        <family val="1"/>
      </rPr>
      <t xml:space="preserve">Власний капітал  </t>
    </r>
    <r>
      <rPr>
        <sz val="15"/>
        <rFont val="Times New Roman"/>
        <family val="1"/>
      </rPr>
      <t>(баланс р. 1495)</t>
    </r>
  </si>
  <si>
    <t>VІI. Кредитна політика</t>
  </si>
  <si>
    <t>Отримано залучених коштів, усього, у тому числі:</t>
  </si>
  <si>
    <t>7000</t>
  </si>
  <si>
    <t>довгострокові зобов'язання</t>
  </si>
  <si>
    <t>7001</t>
  </si>
  <si>
    <t>короткострокові зобов'язання</t>
  </si>
  <si>
    <t>7002</t>
  </si>
  <si>
    <t>інші фінансові зобов'язання</t>
  </si>
  <si>
    <t>7003</t>
  </si>
  <si>
    <t>Повернено залучених коштів, усього, у тому числі:</t>
  </si>
  <si>
    <t>7010</t>
  </si>
  <si>
    <t>7011</t>
  </si>
  <si>
    <t>7012</t>
  </si>
  <si>
    <t>7013</t>
  </si>
  <si>
    <t>VIII. Дані про персонал та витрати на оплату праці</t>
  </si>
  <si>
    <r>
      <rPr>
        <b/>
        <sz val="15"/>
        <rFont val="Times New Roman"/>
        <family val="1"/>
      </rPr>
      <t xml:space="preserve">Середня кількість працівників </t>
    </r>
    <r>
      <rPr>
        <sz val="15"/>
        <rFont val="Times New Roman"/>
        <family val="1"/>
      </rPr>
      <t>(штатних працівників, зовнішніх сумісників та працівників, що працюють за цивільно-правовими договорами)</t>
    </r>
    <r>
      <rPr>
        <b/>
        <sz val="15"/>
        <rFont val="Times New Roman"/>
        <family val="1"/>
      </rPr>
      <t>, у тому числі:</t>
    </r>
  </si>
  <si>
    <t>8000</t>
  </si>
  <si>
    <t>директор</t>
  </si>
  <si>
    <t>8001</t>
  </si>
  <si>
    <t>адміністративно-управлінський персонал</t>
  </si>
  <si>
    <t>8002</t>
  </si>
  <si>
    <t>працівники</t>
  </si>
  <si>
    <t>8003</t>
  </si>
  <si>
    <t>8010</t>
  </si>
  <si>
    <t>Середньомісячні витрати на оплату праці одного працівника (гривень), усього, у тому числі:</t>
  </si>
  <si>
    <t>8020</t>
  </si>
  <si>
    <t>8021</t>
  </si>
  <si>
    <t>8022</t>
  </si>
  <si>
    <t>8023</t>
  </si>
  <si>
    <r>
      <rPr>
        <b/>
        <u val="single"/>
        <sz val="14"/>
        <rFont val="Times New Roman"/>
        <family val="1"/>
      </rPr>
      <t>Керівник</t>
    </r>
    <r>
      <rPr>
        <u val="single"/>
        <sz val="14"/>
        <rFont val="Times New Roman"/>
        <family val="1"/>
      </rPr>
      <t xml:space="preserve">                               Директор</t>
    </r>
  </si>
  <si>
    <t>_____________________________</t>
  </si>
  <si>
    <t xml:space="preserve">                                                 (посада)</t>
  </si>
  <si>
    <t>(підпис)</t>
  </si>
  <si>
    <t>Факт наростаючим підсумком
з початку року</t>
  </si>
  <si>
    <t xml:space="preserve">пояснення та обґрунтування відхилення від запланованого рівня доходів/витрат                               </t>
  </si>
  <si>
    <t>Доходи і витрати (деталізація)</t>
  </si>
  <si>
    <t>Чистий дохід від реалізації продукції (товарів, робіт, послуг) (Кр 703) (Дохід від послуг)</t>
  </si>
  <si>
    <t>Собівартість реалізованої продукції (товарів, робіт, послуг) (903)</t>
  </si>
  <si>
    <t>Витрати на сировину та основні матеріали</t>
  </si>
  <si>
    <t xml:space="preserve">Витрати на паливо </t>
  </si>
  <si>
    <t>(    )</t>
  </si>
  <si>
    <t>Витрати на електроенергію</t>
  </si>
  <si>
    <t>Витрати, що здійснюються для підтримання об’єкта в робочому стані (проведення ремонту, технічного огляду, нагляду, обслуговування тощо)</t>
  </si>
  <si>
    <t>Амортизація основних засобів і нематеріальних активів (в т.ч. від безкоштовно отриманих)</t>
  </si>
  <si>
    <t>Інші витрати, в т.ч.</t>
  </si>
  <si>
    <t>Валовий прибуток (збиток)</t>
  </si>
  <si>
    <t>Адміністративні витрати, у тому числі: (92)</t>
  </si>
  <si>
    <t>витрати на службові відрядження</t>
  </si>
  <si>
    <t>Відрядження пов'язані з COVID-19</t>
  </si>
  <si>
    <t>витрати на зв’язок (інтернет)</t>
  </si>
  <si>
    <t>витрати на оплату праці</t>
  </si>
  <si>
    <t>відрахування на соціальні заходи</t>
  </si>
  <si>
    <t>амортизація основних засобів і нематеріальних активів загальногосподарського призначення ( в т.ч. від безкоштовно отриманих)</t>
  </si>
  <si>
    <t>витрати на операційну оренду основних засобів та роялті, що мають загальногосподарське призначення</t>
  </si>
  <si>
    <t>витрати на страхування майна загальногосподарського призначення</t>
  </si>
  <si>
    <t>Страхування приміщення не прооводилось</t>
  </si>
  <si>
    <t>витрати на страхування загальногосподарського персоналу</t>
  </si>
  <si>
    <t xml:space="preserve">організаційно-технічні послуги </t>
  </si>
  <si>
    <t>консультаційні та інформаційні послуги</t>
  </si>
  <si>
    <t>юридичні послуги</t>
  </si>
  <si>
    <t>послуги з оцінки майна</t>
  </si>
  <si>
    <t>витрати на охорону праці загальногосподарського персоналу</t>
  </si>
  <si>
    <t xml:space="preserve">витрати на підвищення кваліфікації та перепідготовку кадрів </t>
  </si>
  <si>
    <t>витрати на утримання основних фондів, інших необоротних активів загальногосподарського використання,  у тому числі:</t>
  </si>
  <si>
    <t>витрати на поліпшення основних фондів</t>
  </si>
  <si>
    <t>1050/1</t>
  </si>
  <si>
    <t>інші адміністративні витрати,в т.ч.:</t>
  </si>
  <si>
    <t>Витрати на збут, у тому числі:</t>
  </si>
  <si>
    <t>транспортні витрати</t>
  </si>
  <si>
    <t>витрати на зберігання та упаковку</t>
  </si>
  <si>
    <t>амортизація основних засобів і нематеріальних активів</t>
  </si>
  <si>
    <t>витрати на рекламу</t>
  </si>
  <si>
    <t>інші витрати на збут (розшифрувати)</t>
  </si>
  <si>
    <t>Інші операційні доходи, усього, у тому числі: (718,719)</t>
  </si>
  <si>
    <t>нетипові операційні доходи (розшифрувати)</t>
  </si>
  <si>
    <t xml:space="preserve">інші операційні доходи  (безкоштовно отримані матеріали, бюджетні кошти, відсотки банку): </t>
  </si>
  <si>
    <t>Інші операційні витрати, усього, у тому числі: (949)</t>
  </si>
  <si>
    <t>нетипові операційні витрати (розшифрувати)</t>
  </si>
  <si>
    <t>витрати на благодійну допомогу</t>
  </si>
  <si>
    <t>відрахування до резерву сумнівних боргів</t>
  </si>
  <si>
    <t>відрахування до недержавних пенсійних фондів</t>
  </si>
  <si>
    <t>інші операційні витрати, в т.ч.: (949)</t>
  </si>
  <si>
    <t>Дохід від участі в капіталі (розшифрувати)</t>
  </si>
  <si>
    <t>Втрати від участі в капіталі (розшифрувати)</t>
  </si>
  <si>
    <t>Інші фінансові доходи (розшифрувати)</t>
  </si>
  <si>
    <t>Фінансові витрати (розшифрувати)</t>
  </si>
  <si>
    <t>Інші доходи, усього, у тому числі: (745)</t>
  </si>
  <si>
    <t>інші доходи (отримано дохід в частині нарахованої амартизації від безкоштовно отриманих основних засобів)</t>
  </si>
  <si>
    <t>Інші витрати, усього, у тому числі: (949)</t>
  </si>
  <si>
    <t>інші витрати (амортизація на безкоштовно отримані основні засоби)</t>
  </si>
  <si>
    <t>Чистий фінансовий результат, у тому числі:</t>
  </si>
  <si>
    <t xml:space="preserve">прибуток </t>
  </si>
  <si>
    <t>збиток</t>
  </si>
  <si>
    <t>Розрахунок показника EBITDA</t>
  </si>
  <si>
    <t>Фінансовий результат від операційної діяльності, рядок 1100</t>
  </si>
  <si>
    <t>плюс амортизація, рядок 1430</t>
  </si>
  <si>
    <t>мінус операційні доходи від курсових різниць, рядок 1071</t>
  </si>
  <si>
    <t>плюс операційні витрати від курсових різниць, рядок 1081</t>
  </si>
  <si>
    <t>мінус значні нетипові операційні доходи, рядок 1072</t>
  </si>
  <si>
    <t>плюс значні нетипові операційні витрати, рядок 1082</t>
  </si>
  <si>
    <t>Інші операційні витрати (відрядження, навчання, розрахунково кас. обсл., комун послуги, програмне забезпечення, відшкодування досліджень, інші)</t>
  </si>
  <si>
    <t xml:space="preserve">                   (підпис)</t>
  </si>
  <si>
    <t>у тому числі за основними видами діяльності за КВЕД</t>
  </si>
  <si>
    <t>Інші фонди (розшифрувати)</t>
  </si>
  <si>
    <t>податок на доходи фізичних осіб</t>
  </si>
  <si>
    <t>інші податки та збори (розшифрувати)</t>
  </si>
  <si>
    <t>Сплата податків та зборів до місцевих бюджетів (податкові платежі), усього, у тому числі:</t>
  </si>
  <si>
    <t>земельний податок</t>
  </si>
  <si>
    <t>орендна плата</t>
  </si>
  <si>
    <t>Інші податки, збори та платежі на користь держави, усього, у тому числі:</t>
  </si>
  <si>
    <t>митні платежі</t>
  </si>
  <si>
    <t xml:space="preserve">єдиний внесок на загальнообов'язкове державне соціальне страхування                      </t>
  </si>
  <si>
    <t>інші податки, збори та платежі (військовий збір)</t>
  </si>
  <si>
    <t>Погашення податкового боргу, усього, у тому числі:</t>
  </si>
  <si>
    <t>погашення реструктуризованих та відстрочених сум, що підлягають сплаті в поточному році до бюджетів та державних цільових фондів</t>
  </si>
  <si>
    <t>інші (штрафи, пені, неустойки) (розшифрувати)</t>
  </si>
  <si>
    <t>Код рядка</t>
  </si>
  <si>
    <t>Факт наростаючим підсумком 
з початку року</t>
  </si>
  <si>
    <t>І. Рух коштів у результаті операційної діяльності</t>
  </si>
  <si>
    <t xml:space="preserve">Надходження грошових коштів від операційної діяльності </t>
  </si>
  <si>
    <r>
      <rPr>
        <sz val="14"/>
        <rFont val="Times New Roman"/>
        <family val="1"/>
      </rPr>
      <t>Виручка від реалізації продукції (товарів, робіт, послуг)</t>
    </r>
    <r>
      <rPr>
        <b/>
        <sz val="14"/>
        <rFont val="Times New Roman"/>
        <family val="1"/>
      </rPr>
      <t xml:space="preserve"> (кошти НЦЗУ)</t>
    </r>
  </si>
  <si>
    <t>Повернення податків і зборів, у тому числі:</t>
  </si>
  <si>
    <t>податку на додану вартість</t>
  </si>
  <si>
    <r>
      <rPr>
        <sz val="14"/>
        <rFont val="Times New Roman"/>
        <family val="1"/>
      </rPr>
      <t xml:space="preserve">Цільове фінансування </t>
    </r>
    <r>
      <rPr>
        <b/>
        <sz val="14"/>
        <rFont val="Times New Roman"/>
        <family val="1"/>
      </rPr>
      <t xml:space="preserve"> (субвенції), в т.ч.:</t>
    </r>
  </si>
  <si>
    <t>Надходження авансів від покупців і замовників</t>
  </si>
  <si>
    <t>Отримання коштів за короткостроковими зобов'язаннями, у тому числі:</t>
  </si>
  <si>
    <t>кредити</t>
  </si>
  <si>
    <t xml:space="preserve">позики </t>
  </si>
  <si>
    <t>облігації</t>
  </si>
  <si>
    <t>Видатки грошових коштів від операційної діяльності</t>
  </si>
  <si>
    <t xml:space="preserve">Розрахунки за продукцію (товари, роботи та послуги) </t>
  </si>
  <si>
    <t xml:space="preserve">Розрахунки з оплати праці </t>
  </si>
  <si>
    <t>Повернення коштів за короткостроковими зобов'язаннями, у тому числі:</t>
  </si>
  <si>
    <t>Зобов’язання з податків, зборів та інших обов’язкових платежів, у тому числі:</t>
  </si>
  <si>
    <t>податок на додану вартість</t>
  </si>
  <si>
    <t>рентна плата</t>
  </si>
  <si>
    <t>інші обов’язкові платежі, у тому числі:</t>
  </si>
  <si>
    <t>відрахування частини чистого прибутку державними підприємствами</t>
  </si>
  <si>
    <t>3146/1</t>
  </si>
  <si>
    <t xml:space="preserve">відрахування частини чистого прибутку до фонду на виплату дивідендів на державну частку господарськими товариствами </t>
  </si>
  <si>
    <t>3146/2</t>
  </si>
  <si>
    <t>Повернення коштів до бюджету</t>
  </si>
  <si>
    <t>Інші витрати, в тому числі:</t>
  </si>
  <si>
    <t>II. Рух коштів у результаті інвестиційної діяльності</t>
  </si>
  <si>
    <t xml:space="preserve">Надходження грошових коштів від інвестиційної діяльності </t>
  </si>
  <si>
    <t>Виручка від реалізації фінансових інвестицій</t>
  </si>
  <si>
    <t xml:space="preserve">Виручка від реалізації необоротних активів </t>
  </si>
  <si>
    <t xml:space="preserve">Надходження від продажу акцій та облігацій </t>
  </si>
  <si>
    <r>
      <rPr>
        <sz val="14"/>
        <rFont val="Times New Roman"/>
        <family val="1"/>
      </rPr>
      <t>Інші надходження (розшифрувати)</t>
    </r>
    <r>
      <rPr>
        <i/>
        <sz val="14"/>
        <rFont val="Times New Roman"/>
        <family val="1"/>
      </rPr>
      <t xml:space="preserve"> </t>
    </r>
  </si>
  <si>
    <t xml:space="preserve">Видатки грошових коштів від інвестиційної діяльності </t>
  </si>
  <si>
    <r>
      <rPr>
        <sz val="14"/>
        <rFont val="Times New Roman"/>
        <family val="1"/>
      </rPr>
      <t>Придбання (створення) основних засобів (розшифрувати)</t>
    </r>
    <r>
      <rPr>
        <i/>
        <sz val="14"/>
        <rFont val="Times New Roman"/>
        <family val="1"/>
      </rPr>
      <t xml:space="preserve"> </t>
    </r>
  </si>
  <si>
    <r>
      <rPr>
        <sz val="14"/>
        <rFont val="Times New Roman"/>
        <family val="1"/>
      </rPr>
      <t>Капітальне будівництво (розшифрувати)</t>
    </r>
    <r>
      <rPr>
        <i/>
        <sz val="14"/>
        <rFont val="Times New Roman"/>
        <family val="1"/>
      </rPr>
      <t xml:space="preserve"> </t>
    </r>
  </si>
  <si>
    <r>
      <rPr>
        <sz val="14"/>
        <rFont val="Times New Roman"/>
        <family val="1"/>
      </rPr>
      <t>Придбання (створення) нематеріальних активів (розшифрувати)</t>
    </r>
    <r>
      <rPr>
        <i/>
        <sz val="14"/>
        <rFont val="Times New Roman"/>
        <family val="1"/>
      </rPr>
      <t xml:space="preserve"> </t>
    </r>
  </si>
  <si>
    <t xml:space="preserve">Придбання акцій та облігацій  </t>
  </si>
  <si>
    <t>Інші витрати (розшифрувати)</t>
  </si>
  <si>
    <t>III. Рух коштів у результаті фінансової діяльності</t>
  </si>
  <si>
    <t xml:space="preserve">Надходження грошових коштів від фінансової діяльності </t>
  </si>
  <si>
    <t>Надходження від власного капіталу</t>
  </si>
  <si>
    <t>Отримання коштів за довгостроковими зобов'язаннями, у тому числі:</t>
  </si>
  <si>
    <t xml:space="preserve">Видатки грошових коштів від фінансової діяльності </t>
  </si>
  <si>
    <t>Витрачання на викуп власних акцій</t>
  </si>
  <si>
    <t>Повернення коштів за довгостроковими зобов'язаннями, у тому числі:</t>
  </si>
  <si>
    <t xml:space="preserve">Сплата дивідендів </t>
  </si>
  <si>
    <t>Чистий рух коштів від фінансової діяльності </t>
  </si>
  <si>
    <t>Чистий грошовий потік</t>
  </si>
  <si>
    <t>Капітальні інвестиції, усього,
у тому числі:</t>
  </si>
  <si>
    <t>__________________________</t>
  </si>
  <si>
    <t>Оптимальне значення</t>
  </si>
  <si>
    <t>Примітки</t>
  </si>
  <si>
    <t>Коефіцієнти рентабельності та прибутковості</t>
  </si>
  <si>
    <t>Валова рентабельність
(валовий прибуток, рядок 1020 / чистий дохід від реалізації продукції (товарів, робіт, послуг), рядок 1000) х 100, %</t>
  </si>
  <si>
    <t>Збільшення</t>
  </si>
  <si>
    <t>Рентабельність EBITDA
(EBITDA, рядок 1310 / чистий дохід від реалізації продукції (товарів, робіт, послуг), рядок 1000) х 100, %</t>
  </si>
  <si>
    <t>Рентабельність активів
(чистий фінансовий результат, рядок 1200 / вартість активів, рядок 6020) х 100, %</t>
  </si>
  <si>
    <t>Характеризує ефективність використання активів підприємства</t>
  </si>
  <si>
    <t>Рентабельність власного капіталу
(чистий фінансовий результат, рядок 1200 / власний капітал, рядок 6080) х 100, %</t>
  </si>
  <si>
    <t>Рентабельність діяльності
(чистий фінансовий результат, рядок 1200 / чистий дохід від реалізації продукції (товарів, робіт, послуг), рядок 1000) х 100, %</t>
  </si>
  <si>
    <t>Характеризує ефективність господарської діяльності підприємства</t>
  </si>
  <si>
    <t>Коефіцієнти фінансової стійкості та ліквідності</t>
  </si>
  <si>
    <t>Коефіцієнт відношення боргу до EBITDA
(довгострокові зобов'язання, рядок 6030 + поточні зобов'язання, рядок 6040) / EBITDA, рядок 1310</t>
  </si>
  <si>
    <t>Коефіцієнт фінансової стійкості
(власний капітал, рядок 6080 / (довгострокові зобов'язання, рядок 6030 + поточні зобов'язання, рядок 6040))</t>
  </si>
  <si>
    <t>&gt; 1</t>
  </si>
  <si>
    <t>Характеризує співвідношення власних та позикових коштів і залежність підприємства від зовнішніх фінансових джерел</t>
  </si>
  <si>
    <t>Коефіцієнт поточної ліквідності (покриття)
(оборотні активи, рядок 6010 / поточні зобов'язання, рядок 6040)</t>
  </si>
  <si>
    <t>Показує достатність ресурсів підприємства, які може бути використано для погашення його поточних зобов'язань.  Нормативним значенням для цього показника є &gt; 1–1,5</t>
  </si>
  <si>
    <t>Аналіз капітальних інвестицій</t>
  </si>
  <si>
    <t>Коефіцієнт відношення капітальних інвестицій до амортизації
(капітальні інвестиції, рядок 4000 / амортизація, рядок 1430)</t>
  </si>
  <si>
    <t>Коефіцієнт відношення капітальних інвестицій до чистого доходу від реалізації продукції (товарів, робіт, послуг)
(капітальні інвестиції, рядок 4000 / чистий дохід від реалізації продукції (товарів, робіт, послуг), рядок 1000)</t>
  </si>
  <si>
    <t>Коефіцієнт зносу основних засобів 
(сума зносу, рядок 6003 / первісна вартість основних засобів, рядок 6002)</t>
  </si>
  <si>
    <t>Зменшення</t>
  </si>
  <si>
    <t>Характеризує інвестиційну політику підприємства</t>
  </si>
  <si>
    <t>Ковенанти/обмежувальні коефіцієнти</t>
  </si>
  <si>
    <t>Інші коефіцієнти/ковенанти, якщо такі передбачені умовами кредитних договорів, із зазначенням банку, валюти та суми зобов'язання на дату останньої звітності, строку погашення. У графі "Оптимальне значення" вказати граничне значення коефіцієнта</t>
  </si>
  <si>
    <t>Інформація</t>
  </si>
  <si>
    <t>__________________________________________________________________________________________________________________</t>
  </si>
  <si>
    <t>(найменування підприємства)</t>
  </si>
  <si>
    <t xml:space="preserve">      1. Дані про підприємство, персонал та витрати на оплату праці</t>
  </si>
  <si>
    <t xml:space="preserve">      Загальна інформація про підприємство (резюме)</t>
  </si>
  <si>
    <t>Факт
відповідного періоду минулого року</t>
  </si>
  <si>
    <t>План
звітного періоду</t>
  </si>
  <si>
    <t>Факт
звітного періоду</t>
  </si>
  <si>
    <r>
      <rPr>
        <sz val="14"/>
        <rFont val="Times New Roman"/>
        <family val="1"/>
      </rPr>
      <t xml:space="preserve">Відхилення,  +/–
</t>
    </r>
    <r>
      <rPr>
        <sz val="12"/>
        <rFont val="Times New Roman"/>
        <family val="1"/>
      </rPr>
      <t>(Факт звітного періоду /
План звітного періоду)</t>
    </r>
  </si>
  <si>
    <r>
      <rPr>
        <sz val="14"/>
        <rFont val="Times New Roman"/>
        <family val="1"/>
      </rPr>
      <t xml:space="preserve">Виконання, %
</t>
    </r>
    <r>
      <rPr>
        <sz val="12"/>
        <rFont val="Times New Roman"/>
        <family val="1"/>
      </rPr>
      <t>(Факт звітного періоду /
План звітного періоду)</t>
    </r>
  </si>
  <si>
    <r>
      <rPr>
        <b/>
        <sz val="15"/>
        <rFont val="Times New Roman"/>
        <family val="1"/>
      </rPr>
      <t xml:space="preserve">Середня кількість працівників </t>
    </r>
    <r>
      <rPr>
        <sz val="15"/>
        <rFont val="Times New Roman"/>
        <family val="1"/>
      </rPr>
      <t>(штатних
працівників, зовнішніх сумісників та працівників,
що працюють за цивільно-правовими договорами)</t>
    </r>
    <r>
      <rPr>
        <b/>
        <sz val="15"/>
        <rFont val="Times New Roman"/>
        <family val="1"/>
      </rPr>
      <t>, у тому числі:</t>
    </r>
  </si>
  <si>
    <t>Фонд оплати праці, тис. грн,
у тому числі:</t>
  </si>
  <si>
    <t>Витрати на оплату праці,
тис. грн, у тому числі:</t>
  </si>
  <si>
    <t>Середньомісячні витрати на оплату праці
одного працівника (грн), усього,
у тому числі:</t>
  </si>
  <si>
    <t xml:space="preserve">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обов'язково надаються обґрунтування. </t>
  </si>
  <si>
    <t xml:space="preserve">      2. Перелік підприємств, які включені до консолідованого (зведеного) фінансового плану</t>
  </si>
  <si>
    <t>Код за ЄДРПОУ</t>
  </si>
  <si>
    <t>Найменування підприємства</t>
  </si>
  <si>
    <t>Вид діяльності</t>
  </si>
  <si>
    <t xml:space="preserve">      3. Інформація про бізнес підприємства (код рядка 1000 фінансового плану)</t>
  </si>
  <si>
    <t>Найменування видів діяльності за КВЕД</t>
  </si>
  <si>
    <t>План</t>
  </si>
  <si>
    <t>Факт</t>
  </si>
  <si>
    <t>Відхилення,  +/–</t>
  </si>
  <si>
    <t>Виконання, %</t>
  </si>
  <si>
    <t>чистий дохід  від реалізації продукції (товарів, робіт, послуг),     тис. грн</t>
  </si>
  <si>
    <t>кількість продукції/             наданих послуг, одиниця виміру</t>
  </si>
  <si>
    <t>ціна одиниці     (вартість  продукції/     наданих послуг), грн</t>
  </si>
  <si>
    <t xml:space="preserve">чистий дохід  від реалізації продукції (товарів, робіт, послуг) </t>
  </si>
  <si>
    <t xml:space="preserve">кількість продукції/     наданих послуг </t>
  </si>
  <si>
    <t>зміна ціни одиниці  (вартості продукції/     наданих послуг)</t>
  </si>
  <si>
    <t xml:space="preserve">      4. Діючі фінансові зобов'язання підприємства</t>
  </si>
  <si>
    <t>Найменування  банку</t>
  </si>
  <si>
    <t xml:space="preserve">Вид кредитного продукту та цільове призначення </t>
  </si>
  <si>
    <t xml:space="preserve">Сума, валюта за договорами </t>
  </si>
  <si>
    <t>Процентна ставка</t>
  </si>
  <si>
    <t>Дата видачі / погашення (графік)</t>
  </si>
  <si>
    <t>Заборгованість на останню дату</t>
  </si>
  <si>
    <t>Забезпечення</t>
  </si>
  <si>
    <t xml:space="preserve">          </t>
  </si>
  <si>
    <t>х</t>
  </si>
  <si>
    <t xml:space="preserve">      5. Інформація щодо отримання та повернення залучених коштів</t>
  </si>
  <si>
    <t>Зобов'язання</t>
  </si>
  <si>
    <t>Заборгованість за кредитами на початок звітного періоду</t>
  </si>
  <si>
    <t>Отримано залучених коштів за звітний період</t>
  </si>
  <si>
    <t>Повернено залучених коштів за звітний період</t>
  </si>
  <si>
    <t>Заборгованість на кінець звітного періоду</t>
  </si>
  <si>
    <t>план</t>
  </si>
  <si>
    <t xml:space="preserve">Довгострокові зобов'язання, усього </t>
  </si>
  <si>
    <t>у тому числі:</t>
  </si>
  <si>
    <t>Короткострокові зобов'язання, усього</t>
  </si>
  <si>
    <r>
      <rPr>
        <sz val="14"/>
        <rFont val="Times New Roman"/>
        <family val="1"/>
      </rPr>
      <t>у тому числі:</t>
    </r>
    <r>
      <rPr>
        <i/>
        <sz val="14"/>
        <rFont val="Times New Roman"/>
        <family val="1"/>
      </rPr>
      <t xml:space="preserve"> </t>
    </r>
  </si>
  <si>
    <t>Інші фінансові зобов'язання, усього</t>
  </si>
  <si>
    <t>6. Витрати, пов'язані з використанням власних службових автомобілів (у складі адміністративних витрат, рядок 1031)</t>
  </si>
  <si>
    <t>№ з/п</t>
  </si>
  <si>
    <t>Марка</t>
  </si>
  <si>
    <t>Рік придбання</t>
  </si>
  <si>
    <t>Мета використання</t>
  </si>
  <si>
    <t>Витрати, усього</t>
  </si>
  <si>
    <t>Відхилення,  +/–
(факт звітного періоду /
план звітного періоду)</t>
  </si>
  <si>
    <t>Виконання, %
(факт звітного періоду /
план звітного періоду)</t>
  </si>
  <si>
    <t>факт
відповідного періоду
минулого року</t>
  </si>
  <si>
    <t>план
звітного періоду</t>
  </si>
  <si>
    <t>факт
звітного періоду</t>
  </si>
  <si>
    <t>7. Витрати на оренду службових автомобілів (у складі адміністративних витрат, рядок 1032)</t>
  </si>
  <si>
    <t>Договір</t>
  </si>
  <si>
    <t>Дата
початку
оренди</t>
  </si>
  <si>
    <t>8. Джерела капітальних інвестицій</t>
  </si>
  <si>
    <t>тис. грн (без ПДВ)</t>
  </si>
  <si>
    <t>Найменування об’єкта</t>
  </si>
  <si>
    <t>Залучення кредитних коштів</t>
  </si>
  <si>
    <t>Бюджетне фінансування</t>
  </si>
  <si>
    <t>Власні кошти (розшифрувати)</t>
  </si>
  <si>
    <t>Інші джерела (розшифрувати)</t>
  </si>
  <si>
    <t>Кошти Національної служби здоров'я України (медичне та інше обладнання)</t>
  </si>
  <si>
    <t>Відсоток</t>
  </si>
  <si>
    <t>9. Капітальне будівництво (рядок 4010 таблиці 4)</t>
  </si>
  <si>
    <t xml:space="preserve">Найменування об’єкта </t>
  </si>
  <si>
    <t>Рік початку        і закінчення будівництва</t>
  </si>
  <si>
    <t>Загальна кошторисна вартість</t>
  </si>
  <si>
    <t>Первісна балансова вартість введених потужностей на початок звітного періоду</t>
  </si>
  <si>
    <t>Незавершене будівництво на початок звітного періоду</t>
  </si>
  <si>
    <t>Інформація щодо проектно-кошторисної документації (стан розроблення, затвердження, у разі затвердження зазначити орган, яким затверджено, та відповідний документ)</t>
  </si>
  <si>
    <t>Документ, яким затверджений титул будови,
із зазначенням органу, який його погодив</t>
  </si>
  <si>
    <t>освоєння капітальних вкладень</t>
  </si>
  <si>
    <t>фінансування капітальних інвестицій (оплата грошовими коштами), усього</t>
  </si>
  <si>
    <t xml:space="preserve">у тому числі </t>
  </si>
  <si>
    <t>власні кошти</t>
  </si>
  <si>
    <t>кредитні кошти</t>
  </si>
  <si>
    <t>інші джерела (зазначити джерело)</t>
  </si>
  <si>
    <t>Керівник                  Директор</t>
  </si>
  <si>
    <t>(посада)</t>
  </si>
  <si>
    <t>{Додаток 3 в редакції Наказу Міністерства економічного розвитку і торгівлі № 1394 від 03.11.2015}</t>
  </si>
  <si>
    <t>Послуги з програмного забезпечення</t>
  </si>
  <si>
    <t>1018/1</t>
  </si>
  <si>
    <t>Відшкодування за проведення лаболаторних та функціональних досліджень</t>
  </si>
  <si>
    <t>1018/2</t>
  </si>
  <si>
    <t>Інші (відрядження, навчання, підписка, інші комунальні послуги, інші)</t>
  </si>
  <si>
    <t>1018/3</t>
  </si>
  <si>
    <t>Субсидії та поточні трансферти підприємствам (установам, організаціям)</t>
  </si>
  <si>
    <t>1073/1</t>
  </si>
  <si>
    <t>Комплексна програма "Здоров'я" на 2020 рік</t>
  </si>
  <si>
    <t>1073/2</t>
  </si>
  <si>
    <t>1073/3</t>
  </si>
  <si>
    <t>Безкоштовно отримані матеріали та вакцини</t>
  </si>
  <si>
    <t>1073/4</t>
  </si>
  <si>
    <t>1051/1</t>
  </si>
  <si>
    <t>Матеріальні витрати</t>
  </si>
  <si>
    <t>1051/2</t>
  </si>
  <si>
    <t>1051/3</t>
  </si>
  <si>
    <t>Комунальні послуги за кошти місцевого бюджету</t>
  </si>
  <si>
    <t>1086/1</t>
  </si>
  <si>
    <t>Відшкодування по комплексній програмі "Здоров'я" на 2020 рік</t>
  </si>
  <si>
    <t>1086/2</t>
  </si>
  <si>
    <t>Лікарняні (перші 5 днів)</t>
  </si>
  <si>
    <t>1086/3</t>
  </si>
  <si>
    <t>Відрахування ЄСВ з лікарняних</t>
  </si>
  <si>
    <t>1086/4</t>
  </si>
  <si>
    <t>РКО, комісія банку</t>
  </si>
  <si>
    <t>1086/5</t>
  </si>
  <si>
    <t>Безкоштовні матеріали та вакцини</t>
  </si>
  <si>
    <t>1086/6</t>
  </si>
  <si>
    <t>Інші витрати</t>
  </si>
  <si>
    <t>1086/7</t>
  </si>
  <si>
    <t>Субсидії та поточні трансферти підприємствам (установам, організаціям) - комунальні послуги</t>
  </si>
  <si>
    <t>3030/1</t>
  </si>
  <si>
    <t xml:space="preserve">Комплексна програма "Здоров'я" на 2020 рік </t>
  </si>
  <si>
    <t>3030/2</t>
  </si>
  <si>
    <t>єдиний соціальний внесок</t>
  </si>
  <si>
    <t>3150/1</t>
  </si>
  <si>
    <t>військовий збір</t>
  </si>
  <si>
    <t>3150/2</t>
  </si>
  <si>
    <t>інші платежі, в тому числі:</t>
  </si>
  <si>
    <t>Комунальні послуги</t>
  </si>
  <si>
    <t>3170/1</t>
  </si>
  <si>
    <t>3170/2</t>
  </si>
  <si>
    <t>3170/3</t>
  </si>
  <si>
    <t>Перерахування стороннім організаціям утримань із зарплати</t>
  </si>
  <si>
    <t>3170/4</t>
  </si>
  <si>
    <t>Аудиторські послуги, юридичні послуги, консультаційні та інформаційні послуги</t>
  </si>
  <si>
    <t>3170/5</t>
  </si>
  <si>
    <t>Послуги з програмного забезпечененя</t>
  </si>
  <si>
    <t>3170/6</t>
  </si>
  <si>
    <t>Інші витрати (навчання, підвищення кваліфікації, зв'язок, страхування, охорона, інші комунальні послуги, підписка, комісія банку, РКО та інші)</t>
  </si>
  <si>
    <t>3170/7</t>
  </si>
  <si>
    <t xml:space="preserve">Відсотки банку, відшкодування </t>
  </si>
  <si>
    <t>Усього витрат (903, 92, 94)</t>
  </si>
  <si>
    <t>Усього доходів (70, 71,74,48(різниця 48 -за кв отр та неспис)</t>
  </si>
  <si>
    <t>Інші цілі (цільові кошти- сума безкоштовно отриманих з обласного бюджету медикаментів та вакцин, які ще не використані)</t>
  </si>
  <si>
    <t>Основні засоби (баланс р.1000, 1010)</t>
  </si>
  <si>
    <t>первісна вартість (р 1001, 1011)</t>
  </si>
  <si>
    <t>знос (р.1002, 1012)</t>
  </si>
  <si>
    <t xml:space="preserve">Інші надходження (відсотки банку, відшкодування комунальних послуг, інші відшкодування ) </t>
  </si>
  <si>
    <t xml:space="preserve">Зменшення в зв'язку з розірванням кількості укладених декларацій між лікарями та пацієнтами  при переході до ФОП </t>
  </si>
  <si>
    <t>Збільшення за рахунок  виплаченої заробітної плати</t>
  </si>
  <si>
    <t xml:space="preserve">За рахунок нарахованої амортизації на залишкову вартість придбаних активів </t>
  </si>
  <si>
    <t>Збільшення за рахунок збільшення ФОП</t>
  </si>
  <si>
    <t>Економія коштів</t>
  </si>
  <si>
    <t>В зв'язку з карантином відбулося планове зменшення обсягу ремонтних робіт</t>
  </si>
  <si>
    <t>Збільшення матеріальних витрат за рахунок використаних засобів індивідуального захисту для медичного персоналу, витратних матеріали для забору біологічних матеріалів для тестування методом ПЛР та ІФА, дизенфікуючих засобів та інших матеріальних витрат, відповідно до вимог пов'язаних з COVID-19</t>
  </si>
  <si>
    <t>Витрати пов'язані з юридичними послугами пов'язані з економією коштів</t>
  </si>
  <si>
    <t xml:space="preserve">   І І кв 2021</t>
  </si>
  <si>
    <t>за І І квартал 2021 року</t>
  </si>
  <si>
    <t>І. Формування фінансових результатів  ІІ  кв 2021</t>
  </si>
  <si>
    <t>IІ. Розрахунки з бюджетом  ІІ кв 2021</t>
  </si>
  <si>
    <t>ІІІ. Рух грошових коштів (за прямим методом)  ІІ кв 2021</t>
  </si>
  <si>
    <t>IV. Капітальні інвестиції   ІІ кв 2021</t>
  </si>
  <si>
    <t>V. Коефіцієнтний аналіз  І І кв 2021</t>
  </si>
  <si>
    <t>до фінансового плану на І І кв 2021 рік</t>
  </si>
  <si>
    <t>-</t>
  </si>
  <si>
    <t xml:space="preserve"> Інші: (підписка, медогляд, інші комунальні послуги, РКО, комісія)</t>
  </si>
  <si>
    <t>Підключення інтернету на сільські амбулаторії. Підвищення вартості послуг</t>
  </si>
  <si>
    <t>Жанна МИРОНЧУК</t>
  </si>
  <si>
    <t>З</t>
  </si>
  <si>
    <t>За рахунок приєднаних амбулаторій збільшилась чисельність працівників, прийнято колективний договір та змінено форму оплати праці. В зв'язку із значним зростанням мінімальної заробітної плати збільшився ФОП та в зв'язку з виробничою необхідністю перенесено відпустки по графіках. Крім того, виплачено матеріальне стимулювання за збільшення навантаження пов'язаного з COVID-19</t>
  </si>
  <si>
    <t>За рахунок збільшення відшкодування за проведення лабораторних досліджень</t>
  </si>
  <si>
    <t xml:space="preserve">В зв'язку із значним зростанням мінімальної заробітної плати збільшився ФОП, та в зв'язку з виробничою необхідністю перенесено відпустки графіках. </t>
  </si>
  <si>
    <t>В зв'язку з запровадженням програмного забезпечення збільшились консультаційні послуги</t>
  </si>
  <si>
    <t>Навчання  пов'язані з виробничою необхідністю</t>
  </si>
  <si>
    <t>В зв'язку із карантинними заходами пов'язаними з COVID-19 списувались використані засоби захисту, дезинфікуючі засоби, витрати підписки та інші послуги пов'язані з пандемією.</t>
  </si>
  <si>
    <t xml:space="preserve">Медогляд, адміністративний збір </t>
  </si>
  <si>
    <t xml:space="preserve">Перевиконання виникло за рахунок програми "Здоров'я", кошти з бюджету виділялись а зміни у Фінансовий план будуть внесені пізніше. Отримання безкоштовних вакцин для проведення вакцинації населення проти з COVID-19 </t>
  </si>
  <si>
    <t>Перевиконання виникло за рахунок програми "Здоров'я", кошти з бюджету виділялись а зміни у Фінансовий план будуть пізніше. Крім того, безкоштовних вакцин для проведення вакцинації населення проти з COVID-19</t>
  </si>
  <si>
    <t>Отримано дохід в частині нарахованої амортизації від безкоштовно отриманих основних засобів приєднаних амбулаторій</t>
  </si>
  <si>
    <t>Нараховано амортизацію на безкоштовно отримані МНМА та ОЗ приєднаних амбулаторій</t>
  </si>
  <si>
    <t>Отримано при передачі ОЗ 8242583,55, Отримали знос 4873139,58 ПОКАЗАТИ У ІІІ КВ</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</si>
</sst>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quot;$&quot;* #,##0.00_);_(&quot;$&quot;* \(#,##0.00\);_(&quot;$&quot;* &quot;-&quot;??_);_(@_)"/>
    <numFmt numFmtId="177" formatCode="_ * #,##0_ ;_ * \-#,##0_ ;_ * &quot;-&quot;_ ;_ @_ "/>
    <numFmt numFmtId="178" formatCode="_-* #,##0.00_₴_-;\-* #,##0.00_₴_-;_-* &quot;-&quot;??_₴_-;_-@_-"/>
    <numFmt numFmtId="179" formatCode="_(&quot;$&quot;* #,##0_);_(&quot;$&quot;* \(#,##0\);_(&quot;$&quot;* &quot;-&quot;_);_(@_)"/>
    <numFmt numFmtId="180" formatCode="_ * #,##0.00_ ;_ * \-#,##0.00_ ;_ * &quot;-&quot;??_ ;_ @_ "/>
    <numFmt numFmtId="181" formatCode="_-* #,##0.00\ _г_р_н_._-;\-* #,##0.00\ _г_р_н_._-;_-* &quot;-&quot;??\ _г_р_н_._-;_-@_-"/>
    <numFmt numFmtId="182" formatCode="#,##0.00&quot;р.&quot;;\-#,##0.00&quot;р.&quot;"/>
    <numFmt numFmtId="183" formatCode="###\ ##0.000"/>
    <numFmt numFmtId="184" formatCode="_(* #,##0_);_(* \(#,##0\);_(* &quot;-&quot;_);_(@_)"/>
    <numFmt numFmtId="185" formatCode="#,##0&quot;р.&quot;;[Red]\-#,##0&quot;р.&quot;"/>
    <numFmt numFmtId="186" formatCode="_-* #,##0.00_р_._-;\-* #,##0.00_р_._-;_-* &quot;-&quot;??_р_._-;_-@_-"/>
    <numFmt numFmtId="187" formatCode="_(* #,##0.00_);_(* \(#,##0.00\);_(* &quot;-&quot;??_);_(@_)"/>
    <numFmt numFmtId="188" formatCode="#,##0.0_ ;[Red]\-#,##0.0\ "/>
    <numFmt numFmtId="189" formatCode="0.0;\(0.0\);\ ;\-"/>
    <numFmt numFmtId="190" formatCode="0.0"/>
    <numFmt numFmtId="191" formatCode="_(* #,##0_);_(* \(#,##0\);_(* &quot;-&quot;??_);_(@_)"/>
    <numFmt numFmtId="192" formatCode="#,##0.0"/>
    <numFmt numFmtId="193" formatCode="_(* #,##0.0_);_(* \(#,##0.0\);_(* &quot;-&quot;??.0_);_(@_)"/>
    <numFmt numFmtId="194" formatCode="_(* #,##0.0_);_(* \(#,##0.0\);_(* &quot;-&quot;??_);_(@_)"/>
    <numFmt numFmtId="195" formatCode="0.00_);\(0.00\)"/>
    <numFmt numFmtId="196" formatCode="0.0_);\(0.0\)"/>
    <numFmt numFmtId="197" formatCode="0.00;[Red]0.00"/>
    <numFmt numFmtId="198" formatCode="0.0;[Red]0.0"/>
    <numFmt numFmtId="199" formatCode="0_);\(0\)"/>
    <numFmt numFmtId="200" formatCode="_(* #,##0.0_);_(* \(#,##0.0\);_(* &quot;-&quot;_);_(@_)"/>
  </numFmts>
  <fonts count="105">
    <font>
      <sz val="10"/>
      <name val="Arial Cyr"/>
      <family val="2"/>
    </font>
    <font>
      <sz val="11"/>
      <color indexed="8"/>
      <name val="Calibri"/>
      <family val="2"/>
    </font>
    <font>
      <b/>
      <sz val="14"/>
      <name val="Times New Roman"/>
      <family val="1"/>
    </font>
    <font>
      <sz val="14"/>
      <name val="Arial Cyr"/>
      <family val="2"/>
    </font>
    <font>
      <sz val="14"/>
      <name val="Times New Roman"/>
      <family val="1"/>
    </font>
    <font>
      <sz val="12"/>
      <name val="Times New Roman"/>
      <family val="1"/>
    </font>
    <font>
      <sz val="16"/>
      <name val="Times New Roman"/>
      <family val="1"/>
    </font>
    <font>
      <b/>
      <sz val="16"/>
      <name val="Times New Roman"/>
      <family val="1"/>
    </font>
    <font>
      <b/>
      <u val="single"/>
      <sz val="14"/>
      <name val="Times New Roman"/>
      <family val="1"/>
    </font>
    <font>
      <b/>
      <i/>
      <sz val="16"/>
      <name val="Times New Roman"/>
      <family val="1"/>
    </font>
    <font>
      <sz val="10"/>
      <name val="Times New Roman"/>
      <family val="1"/>
    </font>
    <font>
      <b/>
      <i/>
      <sz val="14"/>
      <name val="Times New Roman"/>
      <family val="1"/>
    </font>
    <font>
      <sz val="13"/>
      <name val="Times New Roman"/>
      <family val="1"/>
    </font>
    <font>
      <b/>
      <sz val="15"/>
      <name val="Times New Roman"/>
      <family val="1"/>
    </font>
    <font>
      <sz val="15"/>
      <name val="Times New Roman"/>
      <family val="1"/>
    </font>
    <font>
      <b/>
      <sz val="13"/>
      <name val="Times New Roman"/>
      <family val="1"/>
    </font>
    <font>
      <b/>
      <sz val="16"/>
      <color indexed="10"/>
      <name val="Times New Roman"/>
      <family val="1"/>
    </font>
    <font>
      <u val="single"/>
      <sz val="14"/>
      <name val="Times New Roman"/>
      <family val="1"/>
    </font>
    <font>
      <b/>
      <sz val="20"/>
      <name val="Times New Roman"/>
      <family val="1"/>
    </font>
    <font>
      <b/>
      <sz val="18"/>
      <name val="Times New Roman"/>
      <family val="1"/>
    </font>
    <font>
      <b/>
      <u val="single"/>
      <sz val="20"/>
      <name val="Times New Roman"/>
      <family val="1"/>
    </font>
    <font>
      <i/>
      <sz val="15"/>
      <name val="Times New Roman"/>
      <family val="1"/>
    </font>
    <font>
      <i/>
      <sz val="14"/>
      <name val="Times New Roman"/>
      <family val="1"/>
    </font>
    <font>
      <b/>
      <sz val="10"/>
      <name val="Arial"/>
      <family val="2"/>
    </font>
    <font>
      <sz val="10"/>
      <name val="Helv"/>
      <family val="2"/>
    </font>
    <font>
      <sz val="10"/>
      <name val="Arial"/>
      <family val="2"/>
    </font>
    <font>
      <sz val="11"/>
      <color indexed="9"/>
      <name val="Calibri"/>
      <family val="2"/>
    </font>
    <font>
      <b/>
      <sz val="11"/>
      <name val="Arial"/>
      <family val="2"/>
    </font>
    <font>
      <sz val="11"/>
      <name val="Arial"/>
      <family val="2"/>
    </font>
    <font>
      <sz val="11"/>
      <color indexed="8"/>
      <name val="Arial Cyr"/>
      <family val="2"/>
    </font>
    <font>
      <sz val="11"/>
      <color indexed="62"/>
      <name val="Calibri"/>
      <family val="2"/>
    </font>
    <font>
      <sz val="11"/>
      <color indexed="9"/>
      <name val="Arial Cyr"/>
      <family val="2"/>
    </font>
    <font>
      <i/>
      <sz val="11"/>
      <name val="Arial"/>
      <family val="2"/>
    </font>
    <font>
      <i/>
      <sz val="11"/>
      <color indexed="23"/>
      <name val="Arial Cyr"/>
      <family val="2"/>
    </font>
    <font>
      <b/>
      <sz val="11"/>
      <color indexed="63"/>
      <name val="Calibri"/>
      <family val="2"/>
    </font>
    <font>
      <b/>
      <sz val="11"/>
      <color indexed="9"/>
      <name val="Calibri"/>
      <family val="2"/>
    </font>
    <font>
      <b/>
      <sz val="12"/>
      <name val="Arial"/>
      <family val="2"/>
    </font>
    <font>
      <b/>
      <i/>
      <sz val="14"/>
      <name val="Arial"/>
      <family val="2"/>
    </font>
    <font>
      <b/>
      <sz val="12"/>
      <color indexed="9"/>
      <name val="Arial"/>
      <family val="2"/>
    </font>
    <font>
      <b/>
      <sz val="11"/>
      <color indexed="9"/>
      <name val="Arial Cyr"/>
      <family val="2"/>
    </font>
    <font>
      <sz val="10"/>
      <name val="FreeSet"/>
      <family val="2"/>
    </font>
    <font>
      <b/>
      <sz val="15"/>
      <color indexed="56"/>
      <name val="Arial Cyr"/>
      <family val="2"/>
    </font>
    <font>
      <b/>
      <sz val="11"/>
      <color indexed="8"/>
      <name val="Arial Cyr"/>
      <family val="2"/>
    </font>
    <font>
      <i/>
      <sz val="11"/>
      <color indexed="23"/>
      <name val="Calibri"/>
      <family val="2"/>
    </font>
    <font>
      <sz val="11"/>
      <color indexed="9"/>
      <name val="Arial"/>
      <family val="2"/>
    </font>
    <font>
      <b/>
      <sz val="11"/>
      <color indexed="52"/>
      <name val="Calibri"/>
      <family val="2"/>
    </font>
    <font>
      <sz val="11"/>
      <color indexed="20"/>
      <name val="Calibri"/>
      <family val="2"/>
    </font>
    <font>
      <sz val="11"/>
      <color indexed="17"/>
      <name val="Arial Cyr"/>
      <family val="2"/>
    </font>
    <font>
      <b/>
      <i/>
      <sz val="14"/>
      <color indexed="9"/>
      <name val="Arial"/>
      <family val="2"/>
    </font>
    <font>
      <sz val="11"/>
      <color indexed="17"/>
      <name val="Calibri"/>
      <family val="2"/>
    </font>
    <font>
      <sz val="12"/>
      <name val="Journal"/>
      <family val="2"/>
    </font>
    <font>
      <b/>
      <i/>
      <sz val="11"/>
      <color indexed="9"/>
      <name val="Arial"/>
      <family val="2"/>
    </font>
    <font>
      <b/>
      <sz val="13"/>
      <color indexed="56"/>
      <name val="Arial Cyr"/>
      <family val="2"/>
    </font>
    <font>
      <b/>
      <sz val="13"/>
      <color indexed="56"/>
      <name val="Calibri"/>
      <family val="2"/>
    </font>
    <font>
      <b/>
      <sz val="11"/>
      <color indexed="56"/>
      <name val="Arial Cyr"/>
      <family val="2"/>
    </font>
    <font>
      <b/>
      <sz val="15"/>
      <color indexed="56"/>
      <name val="Calibri"/>
      <family val="2"/>
    </font>
    <font>
      <u val="single"/>
      <sz val="10"/>
      <color indexed="12"/>
      <name val="Arial"/>
      <family val="2"/>
    </font>
    <font>
      <b/>
      <sz val="11"/>
      <color indexed="9"/>
      <name val="Arial"/>
      <family val="2"/>
    </font>
    <font>
      <sz val="11"/>
      <color indexed="20"/>
      <name val="Arial Cyr"/>
      <family val="2"/>
    </font>
    <font>
      <b/>
      <sz val="11"/>
      <color indexed="8"/>
      <name val="Calibri"/>
      <family val="2"/>
    </font>
    <font>
      <b/>
      <sz val="11"/>
      <color indexed="56"/>
      <name val="Calibri"/>
      <family val="2"/>
    </font>
    <font>
      <b/>
      <sz val="14"/>
      <name val="Arial"/>
      <family val="2"/>
    </font>
    <font>
      <sz val="11"/>
      <color indexed="52"/>
      <name val="Calibri"/>
      <family val="2"/>
    </font>
    <font>
      <b/>
      <sz val="11"/>
      <color indexed="52"/>
      <name val="Arial Cyr"/>
      <family val="2"/>
    </font>
    <font>
      <sz val="8"/>
      <name val="Arial"/>
      <family val="2"/>
    </font>
    <font>
      <b/>
      <sz val="18"/>
      <color indexed="56"/>
      <name val="Cambria"/>
      <family val="1"/>
    </font>
    <font>
      <sz val="10"/>
      <name val="Petersburg"/>
      <family val="2"/>
    </font>
    <font>
      <sz val="11"/>
      <color indexed="60"/>
      <name val="Calibri"/>
      <family val="2"/>
    </font>
    <font>
      <sz val="11"/>
      <color indexed="10"/>
      <name val="Calibri"/>
      <family val="2"/>
    </font>
    <font>
      <sz val="12"/>
      <color indexed="9"/>
      <name val="Bookman Old Style"/>
      <family val="1"/>
    </font>
    <font>
      <sz val="11"/>
      <color indexed="62"/>
      <name val="Arial Cyr"/>
      <family val="2"/>
    </font>
    <font>
      <b/>
      <i/>
      <sz val="12"/>
      <color indexed="9"/>
      <name val="Arial"/>
      <family val="2"/>
    </font>
    <font>
      <sz val="11"/>
      <color indexed="52"/>
      <name val="Arial Cyr"/>
      <family val="2"/>
    </font>
    <font>
      <sz val="12"/>
      <name val="Arial Cyr"/>
      <family val="2"/>
    </font>
    <font>
      <b/>
      <sz val="11"/>
      <color indexed="63"/>
      <name val="Arial Cyr"/>
      <family val="2"/>
    </font>
    <font>
      <sz val="11"/>
      <color indexed="60"/>
      <name val="Arial Cyr"/>
      <family val="2"/>
    </font>
    <font>
      <sz val="11"/>
      <color indexed="10"/>
      <name val="Arial Cyr"/>
      <family val="2"/>
    </font>
    <font>
      <sz val="10"/>
      <name val="Tahoma"/>
      <family val="2"/>
    </font>
    <font>
      <i/>
      <sz val="16"/>
      <name val="Times New Roman"/>
      <family val="1"/>
    </font>
    <font>
      <u val="single"/>
      <sz val="11"/>
      <color indexed="12"/>
      <name val="Calibri"/>
      <family val="2"/>
    </font>
    <font>
      <b/>
      <sz val="18"/>
      <color indexed="56"/>
      <name val="Calibri"/>
      <family val="2"/>
    </font>
    <font>
      <u val="single"/>
      <sz val="11"/>
      <color indexed="20"/>
      <name val="Calibri"/>
      <family val="2"/>
    </font>
    <font>
      <sz val="14"/>
      <color indexed="10"/>
      <name val="Times New Roman"/>
      <family val="1"/>
    </font>
    <font>
      <sz val="16"/>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FFFFFF"/>
      <name val="Calibri"/>
      <family val="2"/>
    </font>
    <font>
      <b/>
      <sz val="18"/>
      <color theme="3"/>
      <name val="Calibri"/>
      <family val="2"/>
    </font>
    <font>
      <sz val="11"/>
      <color rgb="FF9C6500"/>
      <name val="Calibri"/>
      <family val="2"/>
    </font>
    <font>
      <u val="single"/>
      <sz val="11"/>
      <color rgb="FF80008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6"/>
      <color rgb="FFFF0000"/>
      <name val="Times New Roman"/>
      <family val="1"/>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style="thin"/>
      <right style="thin"/>
      <top style="double"/>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medium"/>
      <top style="thin"/>
      <bottom style="thin"/>
    </border>
    <border>
      <left/>
      <right/>
      <top/>
      <bottom style="thin"/>
    </border>
    <border>
      <left style="thin"/>
      <right style="thin"/>
      <top style="thin"/>
      <bottom/>
    </border>
    <border>
      <left style="thin"/>
      <right/>
      <top style="thin"/>
      <bottom style="thin"/>
    </border>
    <border>
      <left/>
      <right/>
      <top style="thin"/>
      <bottom/>
    </border>
    <border>
      <left/>
      <right/>
      <top style="thin"/>
      <bottom style="thin"/>
    </border>
    <border>
      <left style="thin"/>
      <right style="thin"/>
      <top/>
      <bottom style="thin"/>
    </border>
    <border>
      <left/>
      <right style="thin"/>
      <top style="thin"/>
      <bottom style="thin"/>
    </border>
    <border>
      <left style="thin"/>
      <right style="thin"/>
      <top style="thin"/>
      <bottom style="mediu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style="thin"/>
      <right/>
      <top/>
      <bottom style="medium"/>
    </border>
    <border>
      <left/>
      <right/>
      <top/>
      <bottom style="medium"/>
    </border>
    <border>
      <left/>
      <right style="thin"/>
      <top/>
      <bottom style="mediu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style="thin"/>
      <top/>
      <bottom/>
    </border>
  </borders>
  <cellStyleXfs count="415">
    <xf numFmtId="0" fontId="0" fillId="0" borderId="0">
      <alignment/>
      <protection/>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4" fillId="8" borderId="0" applyNumberFormat="0" applyBorder="0" applyAlignment="0" applyProtection="0"/>
    <xf numFmtId="0" fontId="29" fillId="2" borderId="0" applyNumberFormat="0" applyBorder="0" applyAlignment="0" applyProtection="0"/>
    <xf numFmtId="0" fontId="1" fillId="2" borderId="0" applyNumberFormat="0" applyBorder="0" applyAlignment="0" applyProtection="0"/>
    <xf numFmtId="0" fontId="84" fillId="9" borderId="0" applyNumberFormat="0" applyBorder="0" applyAlignment="0" applyProtection="0"/>
    <xf numFmtId="0" fontId="29" fillId="3"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29" fillId="4" borderId="0" applyNumberFormat="0" applyBorder="0" applyAlignment="0" applyProtection="0"/>
    <xf numFmtId="0" fontId="1" fillId="4" borderId="0" applyNumberFormat="0" applyBorder="0" applyAlignment="0" applyProtection="0"/>
    <xf numFmtId="0" fontId="84" fillId="11" borderId="0" applyNumberFormat="0" applyBorder="0" applyAlignment="0" applyProtection="0"/>
    <xf numFmtId="0" fontId="29" fillId="5" borderId="0" applyNumberFormat="0" applyBorder="0" applyAlignment="0" applyProtection="0"/>
    <xf numFmtId="0" fontId="1" fillId="5" borderId="0" applyNumberFormat="0" applyBorder="0" applyAlignment="0" applyProtection="0"/>
    <xf numFmtId="0" fontId="84" fillId="12" borderId="0" applyNumberFormat="0" applyBorder="0" applyAlignment="0" applyProtection="0"/>
    <xf numFmtId="0" fontId="29" fillId="6" borderId="0" applyNumberFormat="0" applyBorder="0" applyAlignment="0" applyProtection="0"/>
    <xf numFmtId="0" fontId="1" fillId="6" borderId="0" applyNumberFormat="0" applyBorder="0" applyAlignment="0" applyProtection="0"/>
    <xf numFmtId="0" fontId="84" fillId="13" borderId="0" applyNumberFormat="0" applyBorder="0" applyAlignment="0" applyProtection="0"/>
    <xf numFmtId="0" fontId="29"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4" fillId="18" borderId="0" applyNumberFormat="0" applyBorder="0" applyAlignment="0" applyProtection="0"/>
    <xf numFmtId="0" fontId="29" fillId="14" borderId="0" applyNumberFormat="0" applyBorder="0" applyAlignment="0" applyProtection="0"/>
    <xf numFmtId="0" fontId="1" fillId="14" borderId="0" applyNumberFormat="0" applyBorder="0" applyAlignment="0" applyProtection="0"/>
    <xf numFmtId="0" fontId="84" fillId="19" borderId="0" applyNumberFormat="0" applyBorder="0" applyAlignment="0" applyProtection="0"/>
    <xf numFmtId="0" fontId="29" fillId="15" borderId="0" applyNumberFormat="0" applyBorder="0" applyAlignment="0" applyProtection="0"/>
    <xf numFmtId="0" fontId="1" fillId="15" borderId="0" applyNumberFormat="0" applyBorder="0" applyAlignment="0" applyProtection="0"/>
    <xf numFmtId="0" fontId="84" fillId="20" borderId="0" applyNumberFormat="0" applyBorder="0" applyAlignment="0" applyProtection="0"/>
    <xf numFmtId="0" fontId="29" fillId="16" borderId="0" applyNumberFormat="0" applyBorder="0" applyAlignment="0" applyProtection="0"/>
    <xf numFmtId="0" fontId="1" fillId="16" borderId="0" applyNumberFormat="0" applyBorder="0" applyAlignment="0" applyProtection="0"/>
    <xf numFmtId="0" fontId="84" fillId="21" borderId="0" applyNumberFormat="0" applyBorder="0" applyAlignment="0" applyProtection="0"/>
    <xf numFmtId="0" fontId="29" fillId="5" borderId="0" applyNumberFormat="0" applyBorder="0" applyAlignment="0" applyProtection="0"/>
    <xf numFmtId="0" fontId="1" fillId="5" borderId="0" applyNumberFormat="0" applyBorder="0" applyAlignment="0" applyProtection="0"/>
    <xf numFmtId="0" fontId="84" fillId="22" borderId="0" applyNumberFormat="0" applyBorder="0" applyAlignment="0" applyProtection="0"/>
    <xf numFmtId="0" fontId="29" fillId="14" borderId="0" applyNumberFormat="0" applyBorder="0" applyAlignment="0" applyProtection="0"/>
    <xf numFmtId="0" fontId="1" fillId="14" borderId="0" applyNumberFormat="0" applyBorder="0" applyAlignment="0" applyProtection="0"/>
    <xf numFmtId="0" fontId="84" fillId="23" borderId="0" applyNumberFormat="0" applyBorder="0" applyAlignment="0" applyProtection="0"/>
    <xf numFmtId="0" fontId="29" fillId="17" borderId="0" applyNumberFormat="0" applyBorder="0" applyAlignment="0" applyProtection="0"/>
    <xf numFmtId="0" fontId="1" fillId="17" borderId="0" applyNumberFormat="0" applyBorder="0" applyAlignment="0" applyProtection="0"/>
    <xf numFmtId="0" fontId="26" fillId="2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85" fillId="28" borderId="0" applyNumberFormat="0" applyBorder="0" applyAlignment="0" applyProtection="0"/>
    <xf numFmtId="0" fontId="31" fillId="24" borderId="0" applyNumberFormat="0" applyBorder="0" applyAlignment="0" applyProtection="0"/>
    <xf numFmtId="0" fontId="26" fillId="24" borderId="0" applyNumberFormat="0" applyBorder="0" applyAlignment="0" applyProtection="0"/>
    <xf numFmtId="0" fontId="85" fillId="29" borderId="0" applyNumberFormat="0" applyBorder="0" applyAlignment="0" applyProtection="0"/>
    <xf numFmtId="0" fontId="31" fillId="15" borderId="0" applyNumberFormat="0" applyBorder="0" applyAlignment="0" applyProtection="0"/>
    <xf numFmtId="0" fontId="26" fillId="15" borderId="0" applyNumberFormat="0" applyBorder="0" applyAlignment="0" applyProtection="0"/>
    <xf numFmtId="0" fontId="85" fillId="30" borderId="0" applyNumberFormat="0" applyBorder="0" applyAlignment="0" applyProtection="0"/>
    <xf numFmtId="0" fontId="31" fillId="16" borderId="0" applyNumberFormat="0" applyBorder="0" applyAlignment="0" applyProtection="0"/>
    <xf numFmtId="0" fontId="26" fillId="16" borderId="0" applyNumberFormat="0" applyBorder="0" applyAlignment="0" applyProtection="0"/>
    <xf numFmtId="0" fontId="85" fillId="31" borderId="0" applyNumberFormat="0" applyBorder="0" applyAlignment="0" applyProtection="0"/>
    <xf numFmtId="0" fontId="31" fillId="25" borderId="0" applyNumberFormat="0" applyBorder="0" applyAlignment="0" applyProtection="0"/>
    <xf numFmtId="0" fontId="26" fillId="25" borderId="0" applyNumberFormat="0" applyBorder="0" applyAlignment="0" applyProtection="0"/>
    <xf numFmtId="0" fontId="85" fillId="32" borderId="0" applyNumberFormat="0" applyBorder="0" applyAlignment="0" applyProtection="0"/>
    <xf numFmtId="0" fontId="31" fillId="26" borderId="0" applyNumberFormat="0" applyBorder="0" applyAlignment="0" applyProtection="0"/>
    <xf numFmtId="0" fontId="26" fillId="26" borderId="0" applyNumberFormat="0" applyBorder="0" applyAlignment="0" applyProtection="0"/>
    <xf numFmtId="0" fontId="85" fillId="33" borderId="0" applyNumberFormat="0" applyBorder="0" applyAlignment="0" applyProtection="0"/>
    <xf numFmtId="0" fontId="31" fillId="27" borderId="0" applyNumberFormat="0" applyBorder="0" applyAlignment="0" applyProtection="0"/>
    <xf numFmtId="0" fontId="26" fillId="27"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37" borderId="0" applyNumberFormat="0" applyBorder="0" applyAlignment="0" applyProtection="0"/>
    <xf numFmtId="0" fontId="46" fillId="3" borderId="0" applyNumberFormat="0" applyBorder="0" applyAlignment="0" applyProtection="0"/>
    <xf numFmtId="0" fontId="45" fillId="38" borderId="1" applyNumberFormat="0" applyAlignment="0" applyProtection="0"/>
    <xf numFmtId="0" fontId="35" fillId="39" borderId="2" applyNumberFormat="0" applyAlignment="0" applyProtection="0"/>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181" fontId="25" fillId="0" borderId="0" applyFont="0" applyFill="0" applyBorder="0" applyAlignment="0" applyProtection="0"/>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0" fontId="43" fillId="0" borderId="0" applyNumberFormat="0" applyFill="0" applyBorder="0" applyAlignment="0" applyProtection="0"/>
    <xf numFmtId="183" fontId="40" fillId="0" borderId="0" applyAlignment="0">
      <protection/>
    </xf>
    <xf numFmtId="0" fontId="49" fillId="4" borderId="0" applyNumberFormat="0" applyBorder="0" applyAlignment="0" applyProtection="0"/>
    <xf numFmtId="0" fontId="55" fillId="0" borderId="4" applyNumberFormat="0" applyFill="0" applyAlignment="0" applyProtection="0"/>
    <xf numFmtId="0" fontId="53"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56" fillId="0" borderId="0" applyNumberFormat="0" applyFill="0" applyBorder="0" applyAlignment="0" applyProtection="0"/>
    <xf numFmtId="0" fontId="30" fillId="7" borderId="1" applyNumberFormat="0" applyAlignment="0" applyProtection="0"/>
    <xf numFmtId="49" fontId="25" fillId="0" borderId="0" applyNumberFormat="0" applyFont="0" applyAlignment="0">
      <protection locked="0"/>
    </xf>
    <xf numFmtId="49" fontId="25" fillId="0" borderId="0" applyNumberFormat="0" applyFont="0" applyAlignment="0">
      <protection/>
    </xf>
    <xf numFmtId="49" fontId="25" fillId="0" borderId="0" applyNumberFormat="0" applyFont="0" applyAlignment="0">
      <protection/>
    </xf>
    <xf numFmtId="49" fontId="25" fillId="0" borderId="0" applyNumberFormat="0" applyFont="0" applyAlignment="0">
      <protection locked="0"/>
    </xf>
    <xf numFmtId="49" fontId="25" fillId="0" borderId="0" applyNumberFormat="0" applyFont="0" applyAlignment="0">
      <protection/>
    </xf>
    <xf numFmtId="49" fontId="25" fillId="0" borderId="0" applyNumberFormat="0" applyFont="0" applyAlignment="0">
      <protection locked="0"/>
    </xf>
    <xf numFmtId="49" fontId="25" fillId="0" borderId="0" applyNumberFormat="0" applyFont="0" applyAlignment="0">
      <protection/>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61" fillId="40" borderId="7">
      <alignment horizontal="left" vertical="center"/>
      <protection locked="0"/>
    </xf>
    <xf numFmtId="49" fontId="61" fillId="40" borderId="7">
      <alignment horizontal="left" vertical="center"/>
      <protection/>
    </xf>
    <xf numFmtId="4" fontId="61" fillId="40" borderId="7">
      <alignment horizontal="right" vertical="center"/>
      <protection locked="0"/>
    </xf>
    <xf numFmtId="4" fontId="61" fillId="40" borderId="7">
      <alignment horizontal="right" vertical="center"/>
      <protection/>
    </xf>
    <xf numFmtId="4" fontId="38" fillId="40" borderId="7">
      <alignment horizontal="right" vertical="center"/>
      <protection locked="0"/>
    </xf>
    <xf numFmtId="49" fontId="37" fillId="40" borderId="3">
      <alignment horizontal="left" vertical="center"/>
      <protection locked="0"/>
    </xf>
    <xf numFmtId="49" fontId="37" fillId="40" borderId="3">
      <alignment horizontal="left" vertical="center"/>
      <protection/>
    </xf>
    <xf numFmtId="49" fontId="48" fillId="40" borderId="3">
      <alignment horizontal="left" vertical="center"/>
      <protection locked="0"/>
    </xf>
    <xf numFmtId="49" fontId="48" fillId="40" borderId="3">
      <alignment horizontal="left" vertical="center"/>
      <protection/>
    </xf>
    <xf numFmtId="4" fontId="37" fillId="40" borderId="3">
      <alignment horizontal="right" vertical="center"/>
      <protection locked="0"/>
    </xf>
    <xf numFmtId="4" fontId="37" fillId="40" borderId="3">
      <alignment horizontal="right" vertical="center"/>
      <protection/>
    </xf>
    <xf numFmtId="4" fontId="71" fillId="40" borderId="3">
      <alignment horizontal="right" vertical="center"/>
      <protection locked="0"/>
    </xf>
    <xf numFmtId="49" fontId="36" fillId="40" borderId="3">
      <alignment horizontal="left" vertical="center"/>
      <protection locked="0"/>
    </xf>
    <xf numFmtId="49" fontId="36" fillId="40" borderId="3">
      <alignment horizontal="left" vertical="center"/>
      <protection locked="0"/>
    </xf>
    <xf numFmtId="49" fontId="36" fillId="40" borderId="3">
      <alignment horizontal="left" vertical="center"/>
      <protection/>
    </xf>
    <xf numFmtId="49" fontId="36" fillId="40" borderId="3">
      <alignment horizontal="left" vertical="center"/>
      <protection/>
    </xf>
    <xf numFmtId="49" fontId="38" fillId="40" borderId="3">
      <alignment horizontal="left" vertical="center"/>
      <protection locked="0"/>
    </xf>
    <xf numFmtId="49" fontId="38" fillId="40" borderId="3">
      <alignment horizontal="left" vertical="center"/>
      <protection/>
    </xf>
    <xf numFmtId="4" fontId="36" fillId="40" borderId="3">
      <alignment horizontal="right" vertical="center"/>
      <protection locked="0"/>
    </xf>
    <xf numFmtId="4" fontId="36" fillId="40" borderId="3">
      <alignment horizontal="right" vertical="center"/>
      <protection locked="0"/>
    </xf>
    <xf numFmtId="4" fontId="36" fillId="40" borderId="3">
      <alignment horizontal="right" vertical="center"/>
      <protection/>
    </xf>
    <xf numFmtId="4" fontId="36" fillId="40" borderId="3">
      <alignment horizontal="right" vertical="center"/>
      <protection/>
    </xf>
    <xf numFmtId="4" fontId="38" fillId="40" borderId="3">
      <alignment horizontal="right" vertical="center"/>
      <protection locked="0"/>
    </xf>
    <xf numFmtId="49" fontId="27" fillId="40" borderId="3">
      <alignment horizontal="left" vertical="center"/>
      <protection locked="0"/>
    </xf>
    <xf numFmtId="49" fontId="27" fillId="40" borderId="3">
      <alignment horizontal="left" vertical="center"/>
      <protection/>
    </xf>
    <xf numFmtId="49" fontId="57" fillId="40" borderId="3">
      <alignment horizontal="left" vertical="center"/>
      <protection locked="0"/>
    </xf>
    <xf numFmtId="49" fontId="57" fillId="40" borderId="3">
      <alignment horizontal="left" vertical="center"/>
      <protection/>
    </xf>
    <xf numFmtId="4" fontId="27" fillId="40" borderId="3">
      <alignment horizontal="right" vertical="center"/>
      <protection locked="0"/>
    </xf>
    <xf numFmtId="4" fontId="27" fillId="40" borderId="3">
      <alignment horizontal="right" vertical="center"/>
      <protection/>
    </xf>
    <xf numFmtId="4" fontId="69" fillId="40" borderId="3">
      <alignment horizontal="right" vertical="center"/>
      <protection locked="0"/>
    </xf>
    <xf numFmtId="49" fontId="28" fillId="0" borderId="3">
      <alignment horizontal="left" vertical="center"/>
      <protection locked="0"/>
    </xf>
    <xf numFmtId="49" fontId="28" fillId="0" borderId="3">
      <alignment horizontal="left" vertical="center"/>
      <protection/>
    </xf>
    <xf numFmtId="49" fontId="44" fillId="0" borderId="3">
      <alignment horizontal="left" vertical="center"/>
      <protection locked="0"/>
    </xf>
    <xf numFmtId="49" fontId="44" fillId="0" borderId="3">
      <alignment horizontal="left" vertical="center"/>
      <protection/>
    </xf>
    <xf numFmtId="4" fontId="28" fillId="0" borderId="3">
      <alignment horizontal="right" vertical="center"/>
      <protection locked="0"/>
    </xf>
    <xf numFmtId="4" fontId="28" fillId="0" borderId="3">
      <alignment horizontal="right" vertical="center"/>
      <protection/>
    </xf>
    <xf numFmtId="4" fontId="44" fillId="0" borderId="3">
      <alignment horizontal="right" vertical="center"/>
      <protection locked="0"/>
    </xf>
    <xf numFmtId="49" fontId="32" fillId="0" borderId="3">
      <alignment horizontal="left" vertical="center"/>
      <protection locked="0"/>
    </xf>
    <xf numFmtId="49" fontId="32" fillId="0" borderId="3">
      <alignment horizontal="left" vertical="center"/>
      <protection/>
    </xf>
    <xf numFmtId="49" fontId="51" fillId="0" borderId="3">
      <alignment horizontal="left" vertical="center"/>
      <protection locked="0"/>
    </xf>
    <xf numFmtId="49" fontId="51" fillId="0" borderId="3">
      <alignment horizontal="left" vertical="center"/>
      <protection/>
    </xf>
    <xf numFmtId="4" fontId="32" fillId="0" borderId="3">
      <alignment horizontal="right" vertical="center"/>
      <protection locked="0"/>
    </xf>
    <xf numFmtId="4" fontId="32" fillId="0" borderId="3">
      <alignment horizontal="right" vertical="center"/>
      <protection/>
    </xf>
    <xf numFmtId="49" fontId="28" fillId="0" borderId="3">
      <alignment horizontal="left" vertical="center"/>
      <protection locked="0"/>
    </xf>
    <xf numFmtId="49" fontId="44" fillId="0" borderId="3">
      <alignment horizontal="left" vertical="center"/>
      <protection locked="0"/>
    </xf>
    <xf numFmtId="4" fontId="28" fillId="0" borderId="3">
      <alignment horizontal="right" vertical="center"/>
      <protection locked="0"/>
    </xf>
    <xf numFmtId="0" fontId="62" fillId="0" borderId="8" applyNumberFormat="0" applyFill="0" applyAlignment="0" applyProtection="0"/>
    <xf numFmtId="0" fontId="67" fillId="41" borderId="0" applyNumberFormat="0" applyBorder="0" applyAlignment="0" applyProtection="0"/>
    <xf numFmtId="0" fontId="25" fillId="0" borderId="0">
      <alignment/>
      <protection/>
    </xf>
    <xf numFmtId="0" fontId="25" fillId="0" borderId="0">
      <alignment/>
      <protection/>
    </xf>
    <xf numFmtId="0" fontId="25" fillId="0" borderId="0" applyNumberFormat="0" applyFill="0" applyAlignment="0">
      <protection locked="0"/>
    </xf>
    <xf numFmtId="0" fontId="0" fillId="42" borderId="9" applyNumberFormat="0" applyFont="0" applyAlignment="0" applyProtection="0"/>
    <xf numFmtId="4" fontId="23" fillId="7" borderId="3">
      <alignment horizontal="right" vertical="center"/>
      <protection locked="0"/>
    </xf>
    <xf numFmtId="4" fontId="23" fillId="43" borderId="3">
      <alignment horizontal="right" vertical="center"/>
      <protection locked="0"/>
    </xf>
    <xf numFmtId="4" fontId="23" fillId="38" borderId="3">
      <alignment horizontal="right" vertical="center"/>
      <protection locked="0"/>
    </xf>
    <xf numFmtId="0" fontId="34" fillId="38" borderId="10" applyNumberFormat="0" applyAlignment="0" applyProtection="0"/>
    <xf numFmtId="49" fontId="36" fillId="0" borderId="3">
      <alignment horizontal="left" vertical="center" wrapText="1"/>
      <protection locked="0"/>
    </xf>
    <xf numFmtId="49" fontId="36" fillId="0" borderId="3">
      <alignment horizontal="left" vertical="center" wrapText="1"/>
      <protection locked="0"/>
    </xf>
    <xf numFmtId="0" fontId="65" fillId="0" borderId="0" applyNumberFormat="0" applyFill="0" applyBorder="0" applyAlignment="0" applyProtection="0"/>
    <xf numFmtId="0" fontId="59" fillId="0" borderId="11" applyNumberFormat="0" applyFill="0" applyAlignment="0" applyProtection="0"/>
    <xf numFmtId="0" fontId="68" fillId="0" borderId="0" applyNumberFormat="0" applyFill="0" applyBorder="0" applyAlignment="0" applyProtection="0"/>
    <xf numFmtId="0" fontId="85" fillId="44" borderId="0" applyNumberFormat="0" applyBorder="0" applyAlignment="0" applyProtection="0"/>
    <xf numFmtId="0" fontId="31" fillId="34" borderId="0" applyNumberFormat="0" applyBorder="0" applyAlignment="0" applyProtection="0"/>
    <xf numFmtId="0" fontId="26" fillId="34" borderId="0" applyNumberFormat="0" applyBorder="0" applyAlignment="0" applyProtection="0"/>
    <xf numFmtId="0" fontId="85" fillId="45" borderId="0" applyNumberFormat="0" applyBorder="0" applyAlignment="0" applyProtection="0"/>
    <xf numFmtId="0" fontId="31" fillId="35" borderId="0" applyNumberFormat="0" applyBorder="0" applyAlignment="0" applyProtection="0"/>
    <xf numFmtId="0" fontId="26" fillId="35" borderId="0" applyNumberFormat="0" applyBorder="0" applyAlignment="0" applyProtection="0"/>
    <xf numFmtId="0" fontId="85" fillId="46" borderId="0" applyNumberFormat="0" applyBorder="0" applyAlignment="0" applyProtection="0"/>
    <xf numFmtId="0" fontId="31" fillId="36" borderId="0" applyNumberFormat="0" applyBorder="0" applyAlignment="0" applyProtection="0"/>
    <xf numFmtId="0" fontId="26" fillId="36" borderId="0" applyNumberFormat="0" applyBorder="0" applyAlignment="0" applyProtection="0"/>
    <xf numFmtId="0" fontId="85" fillId="47" borderId="0" applyNumberFormat="0" applyBorder="0" applyAlignment="0" applyProtection="0"/>
    <xf numFmtId="0" fontId="31" fillId="25" borderId="0" applyNumberFormat="0" applyBorder="0" applyAlignment="0" applyProtection="0"/>
    <xf numFmtId="0" fontId="26" fillId="25" borderId="0" applyNumberFormat="0" applyBorder="0" applyAlignment="0" applyProtection="0"/>
    <xf numFmtId="0" fontId="85" fillId="48" borderId="0" applyNumberFormat="0" applyBorder="0" applyAlignment="0" applyProtection="0"/>
    <xf numFmtId="0" fontId="31" fillId="26" borderId="0" applyNumberFormat="0" applyBorder="0" applyAlignment="0" applyProtection="0"/>
    <xf numFmtId="0" fontId="26" fillId="26" borderId="0" applyNumberFormat="0" applyBorder="0" applyAlignment="0" applyProtection="0"/>
    <xf numFmtId="0" fontId="85" fillId="49" borderId="0" applyNumberFormat="0" applyBorder="0" applyAlignment="0" applyProtection="0"/>
    <xf numFmtId="0" fontId="31" fillId="37" borderId="0" applyNumberFormat="0" applyBorder="0" applyAlignment="0" applyProtection="0"/>
    <xf numFmtId="0" fontId="26" fillId="37" borderId="0" applyNumberFormat="0" applyBorder="0" applyAlignment="0" applyProtection="0"/>
    <xf numFmtId="0" fontId="86" fillId="50" borderId="12" applyNumberFormat="0" applyAlignment="0" applyProtection="0"/>
    <xf numFmtId="0" fontId="70" fillId="7" borderId="1" applyNumberFormat="0" applyAlignment="0" applyProtection="0"/>
    <xf numFmtId="0" fontId="30" fillId="7" borderId="1" applyNumberFormat="0" applyAlignment="0" applyProtection="0"/>
    <xf numFmtId="0" fontId="87" fillId="51" borderId="13" applyNumberFormat="0" applyAlignment="0" applyProtection="0"/>
    <xf numFmtId="0" fontId="74" fillId="38" borderId="10" applyNumberFormat="0" applyAlignment="0" applyProtection="0"/>
    <xf numFmtId="0" fontId="34" fillId="38" borderId="10" applyNumberFormat="0" applyAlignment="0" applyProtection="0"/>
    <xf numFmtId="0" fontId="88" fillId="51" borderId="12" applyNumberFormat="0" applyAlignment="0" applyProtection="0"/>
    <xf numFmtId="0" fontId="63" fillId="38" borderId="1" applyNumberFormat="0" applyAlignment="0" applyProtection="0"/>
    <xf numFmtId="0" fontId="45" fillId="38" borderId="1" applyNumberFormat="0" applyAlignment="0" applyProtection="0"/>
    <xf numFmtId="0" fontId="89" fillId="0" borderId="0" applyNumberForma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6" fontId="25" fillId="0" borderId="0" applyFont="0" applyFill="0" applyBorder="0" applyAlignment="0" applyProtection="0"/>
    <xf numFmtId="0" fontId="90" fillId="0" borderId="14" applyNumberFormat="0" applyFill="0" applyAlignment="0" applyProtection="0"/>
    <xf numFmtId="0" fontId="41" fillId="0" borderId="4" applyNumberFormat="0" applyFill="0" applyAlignment="0" applyProtection="0"/>
    <xf numFmtId="0" fontId="55" fillId="0" borderId="4" applyNumberFormat="0" applyFill="0" applyAlignment="0" applyProtection="0"/>
    <xf numFmtId="0" fontId="91" fillId="0" borderId="14" applyNumberFormat="0" applyFill="0" applyAlignment="0" applyProtection="0"/>
    <xf numFmtId="0" fontId="52" fillId="0" borderId="5" applyNumberFormat="0" applyFill="0" applyAlignment="0" applyProtection="0"/>
    <xf numFmtId="0" fontId="53" fillId="0" borderId="5" applyNumberFormat="0" applyFill="0" applyAlignment="0" applyProtection="0"/>
    <xf numFmtId="0" fontId="92" fillId="0" borderId="15" applyNumberFormat="0" applyFill="0" applyAlignment="0" applyProtection="0"/>
    <xf numFmtId="0" fontId="54" fillId="0" borderId="6" applyNumberFormat="0" applyFill="0" applyAlignment="0" applyProtection="0"/>
    <xf numFmtId="0" fontId="60" fillId="0" borderId="6" applyNumberFormat="0" applyFill="0" applyAlignment="0" applyProtection="0"/>
    <xf numFmtId="0" fontId="92" fillId="0" borderId="0" applyNumberFormat="0" applyFill="0" applyBorder="0" applyAlignment="0" applyProtection="0"/>
    <xf numFmtId="0" fontId="54" fillId="0" borderId="0" applyNumberFormat="0" applyFill="0" applyBorder="0" applyAlignment="0" applyProtection="0"/>
    <xf numFmtId="0" fontId="60" fillId="0" borderId="0" applyNumberFormat="0" applyFill="0" applyBorder="0" applyAlignment="0" applyProtection="0"/>
    <xf numFmtId="0" fontId="93" fillId="0" borderId="16" applyNumberFormat="0" applyFill="0" applyAlignment="0" applyProtection="0"/>
    <xf numFmtId="0" fontId="42" fillId="0" borderId="11" applyNumberFormat="0" applyFill="0" applyAlignment="0" applyProtection="0"/>
    <xf numFmtId="0" fontId="59" fillId="0" borderId="11" applyNumberFormat="0" applyFill="0" applyAlignment="0" applyProtection="0"/>
    <xf numFmtId="0" fontId="94" fillId="52" borderId="17" applyNumberFormat="0" applyAlignment="0" applyProtection="0"/>
    <xf numFmtId="0" fontId="39" fillId="39" borderId="2" applyNumberFormat="0" applyAlignment="0" applyProtection="0"/>
    <xf numFmtId="0" fontId="35" fillId="39" borderId="2" applyNumberFormat="0" applyAlignment="0" applyProtection="0"/>
    <xf numFmtId="0" fontId="9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6" fillId="53" borderId="0" applyNumberFormat="0" applyBorder="0" applyAlignment="0" applyProtection="0"/>
    <xf numFmtId="0" fontId="75" fillId="41" borderId="0" applyNumberFormat="0" applyBorder="0" applyAlignment="0" applyProtection="0"/>
    <xf numFmtId="0" fontId="67" fillId="4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1"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1" fillId="0" borderId="0">
      <alignment/>
      <protection/>
    </xf>
    <xf numFmtId="0" fontId="84" fillId="0" borderId="0">
      <alignment/>
      <protection/>
    </xf>
    <xf numFmtId="0" fontId="25" fillId="0" borderId="0">
      <alignment/>
      <protection/>
    </xf>
    <xf numFmtId="0" fontId="0" fillId="0" borderId="0">
      <alignment/>
      <protection/>
    </xf>
    <xf numFmtId="0" fontId="25" fillId="0" borderId="0">
      <alignment/>
      <protection/>
    </xf>
    <xf numFmtId="0" fontId="25" fillId="0" borderId="0" applyNumberFormat="0" applyFont="0" applyFill="0" applyBorder="0" applyAlignment="0" applyProtection="0"/>
    <xf numFmtId="0" fontId="25" fillId="0" borderId="0" applyNumberFormat="0" applyFont="0" applyFill="0" applyBorder="0" applyAlignment="0" applyProtection="0"/>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97" fillId="0" borderId="0" applyNumberFormat="0" applyFill="0" applyBorder="0" applyAlignment="0" applyProtection="0"/>
    <xf numFmtId="0" fontId="98" fillId="54" borderId="0" applyNumberFormat="0" applyBorder="0" applyAlignment="0" applyProtection="0"/>
    <xf numFmtId="0" fontId="58" fillId="3" borderId="0" applyNumberFormat="0" applyBorder="0" applyAlignment="0" applyProtection="0"/>
    <xf numFmtId="0" fontId="46" fillId="3" borderId="0" applyNumberFormat="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43" fillId="0" borderId="0" applyNumberFormat="0" applyFill="0" applyBorder="0" applyAlignment="0" applyProtection="0"/>
    <xf numFmtId="0" fontId="1" fillId="55" borderId="18" applyNumberFormat="0" applyFont="0" applyAlignment="0" applyProtection="0"/>
    <xf numFmtId="0" fontId="73" fillId="42" borderId="9" applyNumberFormat="0" applyFont="0" applyAlignment="0" applyProtection="0"/>
    <xf numFmtId="0" fontId="25" fillId="42"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0" fillId="0" borderId="19" applyNumberFormat="0" applyFill="0" applyAlignment="0" applyProtection="0"/>
    <xf numFmtId="0" fontId="72" fillId="0" borderId="8" applyNumberFormat="0" applyFill="0" applyAlignment="0" applyProtection="0"/>
    <xf numFmtId="0" fontId="62" fillId="0" borderId="8" applyNumberFormat="0" applyFill="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01" fillId="0" borderId="0" applyNumberFormat="0" applyFill="0" applyBorder="0" applyAlignment="0" applyProtection="0"/>
    <xf numFmtId="0" fontId="76" fillId="0" borderId="0" applyNumberFormat="0" applyFill="0" applyBorder="0" applyAlignment="0" applyProtection="0"/>
    <xf numFmtId="0" fontId="68" fillId="0" borderId="0" applyNumberFormat="0" applyFill="0" applyBorder="0" applyAlignment="0" applyProtection="0"/>
    <xf numFmtId="184" fontId="50" fillId="0" borderId="0" applyFont="0" applyFill="0" applyBorder="0" applyAlignment="0" applyProtection="0"/>
    <xf numFmtId="187" fontId="50" fillId="0" borderId="0" applyFont="0" applyFill="0" applyBorder="0" applyAlignment="0" applyProtection="0"/>
    <xf numFmtId="180"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2"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5" fontId="0" fillId="0" borderId="0" applyFont="0" applyFill="0" applyBorder="0" applyAlignment="0" applyProtection="0"/>
    <xf numFmtId="181" fontId="0" fillId="0" borderId="0" applyFont="0" applyFill="0" applyBorder="0" applyAlignment="0" applyProtection="0"/>
    <xf numFmtId="0" fontId="102" fillId="56" borderId="0" applyNumberFormat="0" applyBorder="0" applyAlignment="0" applyProtection="0"/>
    <xf numFmtId="0" fontId="47" fillId="4" borderId="0" applyNumberFormat="0" applyBorder="0" applyAlignment="0" applyProtection="0"/>
    <xf numFmtId="0" fontId="49" fillId="4" borderId="0" applyNumberFormat="0" applyBorder="0" applyAlignment="0" applyProtection="0"/>
    <xf numFmtId="189" fontId="77" fillId="0" borderId="20" applyFill="0" applyBorder="0">
      <alignment horizontal="center" vertical="center" wrapText="1"/>
      <protection locked="0"/>
    </xf>
    <xf numFmtId="183" fontId="66" fillId="0" borderId="0">
      <alignment wrapText="1"/>
      <protection/>
    </xf>
    <xf numFmtId="183" fontId="40" fillId="0" borderId="0">
      <alignment wrapText="1"/>
      <protection/>
    </xf>
  </cellStyleXfs>
  <cellXfs count="528">
    <xf numFmtId="0" fontId="0" fillId="0" borderId="0" xfId="0" applyAlignment="1">
      <alignment/>
    </xf>
    <xf numFmtId="0" fontId="2"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2" fillId="0" borderId="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4" fillId="0" borderId="22" xfId="0" applyFont="1" applyFill="1" applyBorder="1" applyAlignment="1">
      <alignment horizontal="center" vertical="center" wrapText="1" shrinkToFit="1"/>
    </xf>
    <xf numFmtId="0" fontId="5" fillId="0" borderId="3" xfId="0" applyNumberFormat="1" applyFont="1" applyFill="1" applyBorder="1" applyAlignment="1">
      <alignment horizontal="center" vertical="center" wrapText="1" shrinkToFit="1"/>
    </xf>
    <xf numFmtId="0" fontId="4" fillId="0" borderId="0" xfId="0" applyFont="1" applyFill="1" applyBorder="1" applyAlignment="1">
      <alignment horizontal="left" vertical="center" wrapText="1" shrinkToFit="1"/>
    </xf>
    <xf numFmtId="190" fontId="2" fillId="0" borderId="0"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shrinkToFit="1"/>
    </xf>
    <xf numFmtId="3" fontId="5" fillId="0" borderId="3" xfId="0" applyNumberFormat="1" applyFont="1" applyFill="1" applyBorder="1" applyAlignment="1">
      <alignment horizontal="center" vertical="center" wrapText="1" shrinkToFit="1"/>
    </xf>
    <xf numFmtId="0" fontId="4" fillId="0" borderId="0" xfId="0" applyFont="1" applyFill="1" applyBorder="1" applyAlignment="1">
      <alignment horizontal="center" vertical="center"/>
    </xf>
    <xf numFmtId="0" fontId="4" fillId="0" borderId="21" xfId="0" applyFont="1" applyFill="1" applyBorder="1" applyAlignment="1">
      <alignment vertical="center"/>
    </xf>
    <xf numFmtId="3" fontId="4" fillId="0" borderId="3" xfId="0" applyNumberFormat="1" applyFont="1" applyFill="1" applyBorder="1" applyAlignment="1">
      <alignment horizontal="center" vertical="center" wrapText="1" shrinkToFit="1"/>
    </xf>
    <xf numFmtId="0" fontId="6" fillId="0" borderId="3" xfId="0" applyNumberFormat="1" applyFont="1" applyFill="1" applyBorder="1" applyAlignment="1">
      <alignment horizontal="center" vertical="center" wrapText="1" shrinkToFit="1"/>
    </xf>
    <xf numFmtId="0" fontId="2" fillId="0" borderId="0" xfId="0" applyFont="1" applyFill="1" applyBorder="1" applyAlignment="1">
      <alignment horizontal="right" vertical="center"/>
    </xf>
    <xf numFmtId="190" fontId="2" fillId="0" borderId="0" xfId="0" applyNumberFormat="1" applyFont="1" applyFill="1" applyBorder="1" applyAlignment="1">
      <alignment horizontal="right" vertical="center"/>
    </xf>
    <xf numFmtId="0" fontId="4" fillId="0" borderId="3" xfId="0"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3" xfId="0" applyNumberFormat="1" applyFont="1" applyFill="1" applyBorder="1" applyAlignment="1">
      <alignment/>
    </xf>
    <xf numFmtId="191" fontId="4" fillId="0" borderId="3" xfId="0" applyNumberFormat="1" applyFont="1" applyFill="1" applyBorder="1" applyAlignment="1">
      <alignment horizontal="center" vertical="center" wrapText="1"/>
    </xf>
    <xf numFmtId="191" fontId="2" fillId="41" borderId="3" xfId="0" applyNumberFormat="1" applyFont="1" applyFill="1" applyBorder="1" applyAlignment="1">
      <alignment horizontal="center" vertical="center" wrapText="1"/>
    </xf>
    <xf numFmtId="0" fontId="4" fillId="0" borderId="0" xfId="0" applyFont="1" applyFill="1" applyAlignment="1">
      <alignment vertical="center" wrapText="1" shrinkToFit="1"/>
    </xf>
    <xf numFmtId="0" fontId="2" fillId="0" borderId="0" xfId="0" applyFont="1" applyFill="1" applyAlignment="1">
      <alignment horizontal="right" vertical="center"/>
    </xf>
    <xf numFmtId="3" fontId="4" fillId="0" borderId="0" xfId="0" applyNumberFormat="1" applyFont="1" applyFill="1" applyBorder="1" applyAlignment="1">
      <alignment horizontal="center" vertical="center" wrapText="1"/>
    </xf>
    <xf numFmtId="190"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xf>
    <xf numFmtId="3" fontId="4" fillId="0" borderId="3" xfId="0" applyNumberFormat="1" applyFont="1" applyFill="1" applyBorder="1" applyAlignment="1">
      <alignment horizontal="center" vertical="center" wrapText="1"/>
    </xf>
    <xf numFmtId="191" fontId="6" fillId="0" borderId="3" xfId="0" applyNumberFormat="1" applyFont="1" applyFill="1" applyBorder="1" applyAlignment="1">
      <alignment horizontal="center" vertical="center" wrapText="1"/>
    </xf>
    <xf numFmtId="192" fontId="6" fillId="0" borderId="3" xfId="0" applyNumberFormat="1" applyFont="1" applyFill="1" applyBorder="1" applyAlignment="1">
      <alignment horizontal="right" vertical="center" wrapText="1"/>
    </xf>
    <xf numFmtId="191" fontId="7" fillId="41" borderId="3" xfId="0" applyNumberFormat="1" applyFont="1" applyFill="1" applyBorder="1" applyAlignment="1">
      <alignment horizontal="center" vertical="center" wrapText="1"/>
    </xf>
    <xf numFmtId="191" fontId="7" fillId="0" borderId="3" xfId="0" applyNumberFormat="1" applyFont="1" applyFill="1" applyBorder="1" applyAlignment="1">
      <alignment horizontal="center" vertical="center" wrapText="1"/>
    </xf>
    <xf numFmtId="192" fontId="7" fillId="0" borderId="3" xfId="0" applyNumberFormat="1" applyFont="1" applyFill="1" applyBorder="1" applyAlignment="1">
      <alignment horizontal="right" vertical="center" wrapText="1"/>
    </xf>
    <xf numFmtId="192" fontId="6" fillId="41" borderId="3" xfId="0" applyNumberFormat="1" applyFont="1" applyFill="1" applyBorder="1" applyAlignment="1">
      <alignment horizontal="center" vertical="center" wrapText="1"/>
    </xf>
    <xf numFmtId="192" fontId="6" fillId="0" borderId="3" xfId="0" applyNumberFormat="1" applyFont="1" applyFill="1" applyBorder="1" applyAlignment="1">
      <alignment horizontal="center" vertical="center" wrapText="1"/>
    </xf>
    <xf numFmtId="0" fontId="4" fillId="0" borderId="0" xfId="0" applyFont="1" applyFill="1" applyBorder="1" applyAlignment="1">
      <alignment vertical="center" wrapText="1" shrinkToFit="1"/>
    </xf>
    <xf numFmtId="0" fontId="4" fillId="0" borderId="23" xfId="0" applyFont="1" applyFill="1" applyBorder="1" applyAlignment="1">
      <alignment horizontal="center" vertical="center"/>
    </xf>
    <xf numFmtId="192" fontId="2" fillId="0" borderId="0" xfId="0" applyNumberFormat="1" applyFont="1" applyFill="1" applyBorder="1" applyAlignment="1">
      <alignment horizontal="center" vertical="center" wrapText="1"/>
    </xf>
    <xf numFmtId="192" fontId="2" fillId="0" borderId="0" xfId="0" applyNumberFormat="1" applyFont="1" applyFill="1" applyBorder="1" applyAlignment="1">
      <alignment horizontal="center" vertical="center"/>
    </xf>
    <xf numFmtId="0" fontId="4" fillId="0" borderId="0" xfId="0" applyFont="1" applyFill="1" applyAlignment="1">
      <alignment horizontal="right" vertical="center"/>
    </xf>
    <xf numFmtId="193" fontId="6" fillId="0" borderId="3" xfId="0" applyNumberFormat="1" applyFont="1" applyFill="1" applyBorder="1" applyAlignment="1">
      <alignment horizontal="center" vertical="center" wrapText="1"/>
    </xf>
    <xf numFmtId="193" fontId="7" fillId="41" borderId="3" xfId="0" applyNumberFormat="1" applyFont="1" applyFill="1" applyBorder="1" applyAlignment="1">
      <alignment horizontal="center" vertical="center" wrapText="1"/>
    </xf>
    <xf numFmtId="193" fontId="7" fillId="0" borderId="3" xfId="0" applyNumberFormat="1" applyFont="1" applyFill="1" applyBorder="1" applyAlignment="1">
      <alignment horizontal="center" vertical="center" wrapText="1"/>
    </xf>
    <xf numFmtId="3" fontId="4" fillId="0" borderId="24" xfId="0" applyNumberFormat="1" applyFont="1" applyFill="1" applyBorder="1" applyAlignment="1">
      <alignment vertical="center" wrapText="1"/>
    </xf>
    <xf numFmtId="192" fontId="2" fillId="0" borderId="0" xfId="0" applyNumberFormat="1" applyFont="1" applyFill="1" applyBorder="1" applyAlignment="1">
      <alignment vertical="center"/>
    </xf>
    <xf numFmtId="195"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195" fontId="7" fillId="41" borderId="3" xfId="0" applyNumberFormat="1" applyFont="1" applyFill="1" applyBorder="1" applyAlignment="1">
      <alignment horizontal="center" vertical="center" wrapText="1"/>
    </xf>
    <xf numFmtId="196" fontId="7" fillId="41" borderId="3" xfId="0" applyNumberFormat="1" applyFont="1" applyFill="1" applyBorder="1" applyAlignment="1">
      <alignment horizontal="center" vertical="center" wrapText="1"/>
    </xf>
    <xf numFmtId="191" fontId="6" fillId="41" borderId="3" xfId="0" applyNumberFormat="1" applyFont="1" applyFill="1" applyBorder="1" applyAlignment="1">
      <alignment horizontal="center" vertical="center" wrapText="1"/>
    </xf>
    <xf numFmtId="0" fontId="11" fillId="0" borderId="0" xfId="0" applyFont="1" applyFill="1" applyAlignment="1">
      <alignment vertical="center"/>
    </xf>
    <xf numFmtId="0" fontId="4" fillId="0" borderId="0" xfId="0" applyFont="1" applyFill="1" applyBorder="1" applyAlignment="1">
      <alignment vertical="center"/>
    </xf>
    <xf numFmtId="0" fontId="12" fillId="0" borderId="0" xfId="0" applyFont="1" applyFill="1" applyAlignment="1">
      <alignment horizontal="center" vertical="center"/>
    </xf>
    <xf numFmtId="0" fontId="2" fillId="0" borderId="0" xfId="0" applyFont="1" applyFill="1" applyBorder="1" applyAlignment="1">
      <alignment vertical="center"/>
    </xf>
    <xf numFmtId="0" fontId="13" fillId="0" borderId="3" xfId="0" applyFont="1" applyFill="1" applyBorder="1" applyAlignment="1">
      <alignment horizontal="left" vertical="center" wrapText="1"/>
    </xf>
    <xf numFmtId="0" fontId="14" fillId="0" borderId="3" xfId="0" applyFont="1" applyFill="1" applyBorder="1" applyAlignment="1">
      <alignment horizontal="left" vertical="center" wrapText="1"/>
    </xf>
    <xf numFmtId="196" fontId="14" fillId="0" borderId="23" xfId="0" applyNumberFormat="1" applyFont="1" applyFill="1" applyBorder="1" applyAlignment="1">
      <alignment horizontal="center" vertical="center" wrapText="1"/>
    </xf>
    <xf numFmtId="196" fontId="14" fillId="0" borderId="25"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23" xfId="0" applyNumberFormat="1" applyFont="1" applyFill="1" applyBorder="1" applyAlignment="1">
      <alignment horizontal="center" vertical="center"/>
    </xf>
    <xf numFmtId="49" fontId="4" fillId="0" borderId="3" xfId="0" applyNumberFormat="1" applyFont="1" applyFill="1" applyBorder="1" applyAlignment="1">
      <alignment horizontal="left" vertical="center" wrapText="1"/>
    </xf>
    <xf numFmtId="0" fontId="5" fillId="0" borderId="0" xfId="0" applyFont="1" applyFill="1" applyAlignment="1">
      <alignment vertical="center"/>
    </xf>
    <xf numFmtId="194" fontId="4" fillId="0" borderId="3" xfId="0" applyNumberFormat="1" applyFont="1" applyFill="1" applyBorder="1" applyAlignment="1">
      <alignment horizontal="center" vertical="center" wrapText="1"/>
    </xf>
    <xf numFmtId="191" fontId="2" fillId="0" borderId="3" xfId="0" applyNumberFormat="1" applyFont="1" applyFill="1" applyBorder="1" applyAlignment="1">
      <alignment horizontal="center" vertical="center" wrapText="1"/>
    </xf>
    <xf numFmtId="194" fontId="2" fillId="0" borderId="3"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1" fontId="4"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15" fillId="0" borderId="0" xfId="0" applyFont="1" applyFill="1" applyBorder="1" applyAlignment="1">
      <alignment vertical="center"/>
    </xf>
    <xf numFmtId="195" fontId="13" fillId="0" borderId="3" xfId="0" applyNumberFormat="1" applyFont="1" applyFill="1" applyBorder="1" applyAlignment="1">
      <alignment horizontal="center" vertical="center" wrapText="1"/>
    </xf>
    <xf numFmtId="195" fontId="14" fillId="0" borderId="3" xfId="0" applyNumberFormat="1" applyFont="1" applyFill="1" applyBorder="1" applyAlignment="1">
      <alignment horizontal="center" vertical="center" wrapText="1"/>
    </xf>
    <xf numFmtId="192" fontId="4" fillId="0" borderId="0" xfId="0"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191" fontId="4" fillId="41" borderId="3" xfId="0" applyNumberFormat="1" applyFont="1" applyFill="1" applyBorder="1" applyAlignment="1">
      <alignment horizontal="center" vertical="center" wrapText="1"/>
    </xf>
    <xf numFmtId="194" fontId="4" fillId="41" borderId="3" xfId="0" applyNumberFormat="1" applyFont="1" applyFill="1" applyBorder="1" applyAlignment="1">
      <alignment horizontal="center" vertical="center" wrapText="1"/>
    </xf>
    <xf numFmtId="190" fontId="4" fillId="0" borderId="3" xfId="0" applyNumberFormat="1" applyFont="1" applyFill="1" applyBorder="1" applyAlignment="1">
      <alignment horizontal="center" vertical="center"/>
    </xf>
    <xf numFmtId="190" fontId="2" fillId="0" borderId="3" xfId="0" applyNumberFormat="1" applyFont="1" applyFill="1" applyBorder="1" applyAlignment="1">
      <alignment horizontal="center" vertical="center"/>
    </xf>
    <xf numFmtId="0" fontId="4"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192" fontId="4" fillId="0" borderId="0" xfId="0" applyNumberFormat="1" applyFont="1" applyFill="1" applyAlignment="1">
      <alignment vertical="center"/>
    </xf>
    <xf numFmtId="0" fontId="4" fillId="0" borderId="0" xfId="0" applyFont="1" applyFill="1" applyAlignment="1">
      <alignment/>
    </xf>
    <xf numFmtId="0" fontId="10" fillId="0" borderId="0" xfId="0" applyFont="1" applyFill="1" applyAlignment="1">
      <alignment/>
    </xf>
    <xf numFmtId="0" fontId="4" fillId="0" borderId="3" xfId="289" applyFont="1" applyFill="1" applyBorder="1" applyAlignment="1">
      <alignment horizontal="center" vertical="center"/>
      <protection/>
    </xf>
    <xf numFmtId="0" fontId="2" fillId="0" borderId="3" xfId="289" applyFont="1" applyFill="1" applyBorder="1" applyAlignment="1">
      <alignment horizontal="left" vertical="center"/>
      <protection/>
    </xf>
    <xf numFmtId="0" fontId="4" fillId="0" borderId="3" xfId="289" applyNumberFormat="1" applyFont="1" applyFill="1" applyBorder="1" applyAlignment="1">
      <alignment horizontal="center" vertical="center" wrapText="1"/>
      <protection/>
    </xf>
    <xf numFmtId="192" fontId="4" fillId="41" borderId="3" xfId="289" applyNumberFormat="1" applyFont="1" applyFill="1" applyBorder="1" applyAlignment="1">
      <alignment horizontal="center" vertical="center" wrapText="1"/>
      <protection/>
    </xf>
    <xf numFmtId="0" fontId="4" fillId="0" borderId="3" xfId="289" applyNumberFormat="1" applyFont="1" applyFill="1" applyBorder="1" applyAlignment="1">
      <alignment horizontal="left" vertical="center" wrapText="1"/>
      <protection/>
    </xf>
    <xf numFmtId="0" fontId="4" fillId="0" borderId="3" xfId="289" applyNumberFormat="1" applyFont="1" applyFill="1" applyBorder="1" applyAlignment="1">
      <alignment horizontal="left" vertical="top" wrapText="1"/>
      <protection/>
    </xf>
    <xf numFmtId="0" fontId="4" fillId="0" borderId="3" xfId="289" applyFont="1" applyFill="1" applyBorder="1" applyAlignment="1">
      <alignment horizontal="center" vertical="center" wrapText="1"/>
      <protection/>
    </xf>
    <xf numFmtId="192" fontId="4" fillId="0" borderId="3" xfId="289" applyNumberFormat="1" applyFont="1" applyFill="1" applyBorder="1" applyAlignment="1">
      <alignment horizontal="center" vertical="center" wrapText="1"/>
      <protection/>
    </xf>
    <xf numFmtId="49" fontId="4" fillId="0" borderId="3" xfId="289" applyNumberFormat="1" applyFont="1" applyFill="1" applyBorder="1" applyAlignment="1">
      <alignment horizontal="left" vertical="center" wrapText="1"/>
      <protection/>
    </xf>
    <xf numFmtId="0" fontId="8" fillId="0" borderId="0" xfId="0" applyFont="1" applyFill="1" applyBorder="1" applyAlignment="1">
      <alignment horizontal="left" vertical="center" wrapText="1"/>
    </xf>
    <xf numFmtId="192" fontId="4" fillId="0" borderId="0" xfId="0" applyNumberFormat="1" applyFont="1" applyFill="1" applyBorder="1" applyAlignment="1">
      <alignment vertical="center" wrapText="1"/>
    </xf>
    <xf numFmtId="0" fontId="4" fillId="0" borderId="0" xfId="0" applyFont="1" applyFill="1" applyBorder="1" applyAlignment="1">
      <alignment horizontal="left" vertical="center"/>
    </xf>
    <xf numFmtId="0" fontId="16" fillId="0" borderId="0" xfId="0" applyFont="1" applyFill="1" applyAlignment="1">
      <alignment/>
    </xf>
    <xf numFmtId="0" fontId="4" fillId="0" borderId="3" xfId="297" applyFont="1" applyFill="1" applyBorder="1" applyAlignment="1">
      <alignment horizontal="center" vertical="center"/>
      <protection/>
    </xf>
    <xf numFmtId="0" fontId="4" fillId="0" borderId="22" xfId="0" applyFont="1" applyFill="1" applyBorder="1" applyAlignment="1">
      <alignment horizontal="center" vertical="center" wrapText="1"/>
    </xf>
    <xf numFmtId="0" fontId="14" fillId="0" borderId="3" xfId="0" applyNumberFormat="1" applyFont="1" applyFill="1" applyBorder="1" applyAlignment="1">
      <alignment horizontal="center" vertical="center"/>
    </xf>
    <xf numFmtId="195" fontId="13" fillId="41" borderId="3" xfId="0" applyNumberFormat="1" applyFont="1" applyFill="1" applyBorder="1" applyAlignment="1">
      <alignment horizontal="center" vertical="center" wrapText="1"/>
    </xf>
    <xf numFmtId="190" fontId="13" fillId="0" borderId="3" xfId="347" applyNumberFormat="1" applyFont="1" applyFill="1" applyBorder="1" applyAlignment="1">
      <alignment horizontal="right" vertical="center" wrapText="1"/>
    </xf>
    <xf numFmtId="190" fontId="14" fillId="0" borderId="3" xfId="347" applyNumberFormat="1" applyFont="1" applyFill="1" applyBorder="1" applyAlignment="1">
      <alignment horizontal="right" vertical="center" wrapText="1"/>
    </xf>
    <xf numFmtId="197" fontId="14" fillId="0" borderId="3"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297" applyFont="1" applyFill="1">
      <alignment/>
      <protection/>
    </xf>
    <xf numFmtId="0" fontId="2" fillId="0" borderId="0" xfId="0" applyFont="1" applyFill="1" applyAlignment="1">
      <alignment vertical="center"/>
    </xf>
    <xf numFmtId="0" fontId="2" fillId="7" borderId="23" xfId="297" applyFont="1" applyFill="1" applyBorder="1" applyAlignment="1">
      <alignment horizontal="left" vertical="center" wrapText="1"/>
      <protection/>
    </xf>
    <xf numFmtId="0" fontId="2" fillId="0" borderId="25" xfId="297" applyFont="1" applyFill="1" applyBorder="1" applyAlignment="1">
      <alignment horizontal="left" vertical="center" wrapText="1"/>
      <protection/>
    </xf>
    <xf numFmtId="0" fontId="2" fillId="0" borderId="27" xfId="297" applyFont="1" applyFill="1" applyBorder="1" applyAlignment="1">
      <alignment horizontal="left" vertical="center" wrapText="1"/>
      <protection/>
    </xf>
    <xf numFmtId="0" fontId="2" fillId="0" borderId="26" xfId="0" applyFont="1" applyFill="1" applyBorder="1" applyAlignment="1">
      <alignment horizontal="left" vertical="center" wrapText="1"/>
    </xf>
    <xf numFmtId="0" fontId="2" fillId="0" borderId="26" xfId="0" applyFont="1" applyFill="1" applyBorder="1" applyAlignment="1">
      <alignment horizontal="center" vertical="center"/>
    </xf>
    <xf numFmtId="198" fontId="2" fillId="43" borderId="3" xfId="0" applyNumberFormat="1" applyFont="1" applyFill="1" applyBorder="1" applyAlignment="1">
      <alignment horizontal="center" vertical="center" wrapText="1"/>
    </xf>
    <xf numFmtId="196" fontId="2" fillId="0" borderId="3" xfId="0" applyNumberFormat="1" applyFont="1" applyFill="1" applyBorder="1" applyAlignment="1">
      <alignment horizontal="center" vertical="center" wrapText="1"/>
    </xf>
    <xf numFmtId="190" fontId="2" fillId="0" borderId="3" xfId="347" applyNumberFormat="1" applyFont="1" applyFill="1" applyBorder="1" applyAlignment="1">
      <alignment horizontal="right" vertical="center" wrapText="1"/>
    </xf>
    <xf numFmtId="198" fontId="4" fillId="0" borderId="3" xfId="0" applyNumberFormat="1" applyFont="1" applyFill="1" applyBorder="1" applyAlignment="1">
      <alignment horizontal="center" vertical="center" wrapText="1"/>
    </xf>
    <xf numFmtId="196" fontId="4" fillId="0" borderId="3" xfId="0" applyNumberFormat="1" applyFont="1" applyFill="1" applyBorder="1" applyAlignment="1">
      <alignment horizontal="center" vertical="center" wrapText="1"/>
    </xf>
    <xf numFmtId="190" fontId="4" fillId="0" borderId="3" xfId="347" applyNumberFormat="1" applyFont="1" applyFill="1" applyBorder="1" applyAlignment="1">
      <alignment horizontal="right" vertical="center" wrapText="1"/>
    </xf>
    <xf numFmtId="198" fontId="4" fillId="41" borderId="3" xfId="0" applyNumberFormat="1" applyFont="1" applyFill="1" applyBorder="1" applyAlignment="1">
      <alignment horizontal="center" vertical="center" wrapText="1"/>
    </xf>
    <xf numFmtId="184" fontId="4" fillId="0" borderId="3" xfId="0" applyNumberFormat="1" applyFont="1" applyFill="1" applyBorder="1" applyAlignment="1">
      <alignment horizontal="center" vertical="center" wrapText="1"/>
    </xf>
    <xf numFmtId="195" fontId="4" fillId="0" borderId="3" xfId="0" applyNumberFormat="1" applyFont="1" applyFill="1" applyBorder="1" applyAlignment="1">
      <alignment horizontal="center" vertical="center" wrapText="1"/>
    </xf>
    <xf numFmtId="196" fontId="2" fillId="43" borderId="3" xfId="0" applyNumberFormat="1" applyFont="1" applyFill="1" applyBorder="1" applyAlignment="1">
      <alignment horizontal="center" vertical="center" wrapText="1"/>
    </xf>
    <xf numFmtId="195" fontId="2" fillId="0" borderId="3" xfId="0" applyNumberFormat="1" applyFont="1" applyFill="1" applyBorder="1" applyAlignment="1">
      <alignment horizontal="center" vertical="center" wrapText="1"/>
    </xf>
    <xf numFmtId="196" fontId="4" fillId="41" borderId="3" xfId="0" applyNumberFormat="1" applyFont="1" applyFill="1" applyBorder="1" applyAlignment="1">
      <alignment horizontal="center" vertical="center" wrapText="1"/>
    </xf>
    <xf numFmtId="196" fontId="4" fillId="0" borderId="3" xfId="347" applyNumberFormat="1" applyFont="1" applyFill="1" applyBorder="1" applyAlignment="1">
      <alignment horizontal="right" vertical="center" wrapText="1"/>
    </xf>
    <xf numFmtId="0" fontId="2" fillId="0" borderId="22" xfId="0" applyFont="1" applyFill="1" applyBorder="1" applyAlignment="1">
      <alignment horizontal="left" vertical="center" wrapText="1"/>
    </xf>
    <xf numFmtId="0" fontId="2" fillId="0" borderId="22" xfId="0" applyFont="1" applyFill="1" applyBorder="1" applyAlignment="1">
      <alignment horizontal="center" vertical="center"/>
    </xf>
    <xf numFmtId="197" fontId="2" fillId="0" borderId="25" xfId="297" applyNumberFormat="1" applyFont="1" applyFill="1" applyBorder="1" applyAlignment="1">
      <alignment horizontal="left" vertical="center" wrapText="1"/>
      <protection/>
    </xf>
    <xf numFmtId="197" fontId="2" fillId="43" borderId="3" xfId="0" applyNumberFormat="1" applyFont="1" applyFill="1" applyBorder="1" applyAlignment="1">
      <alignment horizontal="center" vertical="center" wrapText="1"/>
    </xf>
    <xf numFmtId="184" fontId="2" fillId="0" borderId="3" xfId="0" applyNumberFormat="1" applyFont="1" applyFill="1" applyBorder="1" applyAlignment="1">
      <alignment horizontal="center" vertical="center" wrapText="1"/>
    </xf>
    <xf numFmtId="197" fontId="4" fillId="0" borderId="3" xfId="0" applyNumberFormat="1" applyFont="1" applyFill="1" applyBorder="1" applyAlignment="1">
      <alignment horizontal="center" vertical="center" wrapText="1"/>
    </xf>
    <xf numFmtId="195" fontId="2" fillId="43" borderId="3" xfId="0" applyNumberFormat="1" applyFont="1" applyFill="1" applyBorder="1" applyAlignment="1">
      <alignment horizontal="center" vertical="center" wrapText="1"/>
    </xf>
    <xf numFmtId="0" fontId="2" fillId="0" borderId="22" xfId="297" applyFont="1" applyFill="1" applyBorder="1" applyAlignment="1">
      <alignment horizontal="left" vertical="center" wrapText="1"/>
      <protection/>
    </xf>
    <xf numFmtId="197" fontId="4" fillId="41" borderId="3" xfId="0" applyNumberFormat="1" applyFont="1" applyFill="1" applyBorder="1" applyAlignment="1">
      <alignment horizontal="center" vertical="center" wrapText="1"/>
    </xf>
    <xf numFmtId="0" fontId="2" fillId="7" borderId="3" xfId="0" applyFont="1" applyFill="1" applyBorder="1" applyAlignment="1">
      <alignment horizontal="left" vertical="center" wrapText="1"/>
    </xf>
    <xf numFmtId="198" fontId="2" fillId="0" borderId="3" xfId="0" applyNumberFormat="1" applyFont="1" applyFill="1" applyBorder="1" applyAlignment="1">
      <alignment horizontal="center" vertical="center" wrapText="1"/>
    </xf>
    <xf numFmtId="0" fontId="4" fillId="0" borderId="3" xfId="0" applyFont="1" applyFill="1" applyBorder="1" applyAlignment="1" applyProtection="1">
      <alignment horizontal="left" vertical="center" wrapText="1"/>
      <protection locked="0"/>
    </xf>
    <xf numFmtId="198" fontId="4" fillId="43" borderId="3" xfId="0" applyNumberFormat="1" applyFont="1" applyFill="1" applyBorder="1" applyAlignment="1">
      <alignment horizontal="center" vertical="center" wrapText="1"/>
    </xf>
    <xf numFmtId="0" fontId="2" fillId="0" borderId="0" xfId="297" applyFont="1" applyFill="1" applyBorder="1" applyAlignment="1">
      <alignment vertical="center"/>
      <protection/>
    </xf>
    <xf numFmtId="0" fontId="2" fillId="0" borderId="0" xfId="297" applyFont="1" applyFill="1" applyBorder="1" applyAlignment="1">
      <alignment horizontal="center" vertical="center"/>
      <protection/>
    </xf>
    <xf numFmtId="0" fontId="4" fillId="0" borderId="0" xfId="297" applyFont="1" applyFill="1" applyBorder="1" applyAlignment="1">
      <alignment horizontal="center" vertical="center"/>
      <protection/>
    </xf>
    <xf numFmtId="0" fontId="4" fillId="0" borderId="0" xfId="297" applyFont="1" applyFill="1" applyBorder="1" applyAlignment="1">
      <alignment vertical="center"/>
      <protection/>
    </xf>
    <xf numFmtId="0" fontId="4" fillId="0" borderId="3" xfId="297" applyFont="1" applyFill="1" applyBorder="1" applyAlignment="1">
      <alignment horizontal="center" vertical="center" wrapText="1"/>
      <protection/>
    </xf>
    <xf numFmtId="0" fontId="12" fillId="0" borderId="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2" fillId="0" borderId="3" xfId="297" applyFont="1" applyFill="1" applyBorder="1" applyAlignment="1">
      <alignment horizontal="left" vertical="center" wrapText="1"/>
      <protection/>
    </xf>
    <xf numFmtId="0" fontId="4" fillId="0" borderId="3" xfId="297" applyFont="1" applyFill="1" applyBorder="1" applyAlignment="1">
      <alignment horizontal="left" vertical="center" wrapText="1"/>
      <protection/>
    </xf>
    <xf numFmtId="184" fontId="4" fillId="41" borderId="3" xfId="0" applyNumberFormat="1" applyFont="1" applyFill="1" applyBorder="1" applyAlignment="1">
      <alignment horizontal="center" vertical="center" wrapText="1"/>
    </xf>
    <xf numFmtId="190" fontId="4" fillId="43" borderId="3" xfId="0" applyNumberFormat="1" applyFont="1" applyFill="1" applyBorder="1" applyAlignment="1">
      <alignment horizontal="center" vertical="center" wrapText="1"/>
    </xf>
    <xf numFmtId="196" fontId="4" fillId="0" borderId="3" xfId="347" applyNumberFormat="1" applyFont="1" applyFill="1" applyBorder="1" applyAlignment="1">
      <alignment horizontal="center" vertical="center" wrapText="1"/>
    </xf>
    <xf numFmtId="184" fontId="2" fillId="43" borderId="3" xfId="0" applyNumberFormat="1" applyFont="1" applyFill="1" applyBorder="1" applyAlignment="1">
      <alignment horizontal="center" vertical="center" wrapText="1"/>
    </xf>
    <xf numFmtId="0" fontId="2" fillId="0" borderId="3" xfId="297" applyFont="1" applyFill="1" applyBorder="1" applyAlignment="1">
      <alignment horizontal="center" vertical="center"/>
      <protection/>
    </xf>
    <xf numFmtId="0" fontId="4" fillId="0" borderId="0" xfId="297" applyFont="1" applyFill="1" applyBorder="1" applyAlignment="1">
      <alignment horizontal="left" vertical="center" wrapText="1"/>
      <protection/>
    </xf>
    <xf numFmtId="0" fontId="4" fillId="0" borderId="0" xfId="0" applyFont="1" applyFill="1" applyAlignment="1">
      <alignment horizontal="left" vertical="center"/>
    </xf>
    <xf numFmtId="0" fontId="4" fillId="0" borderId="0" xfId="297" applyFont="1" applyFill="1" applyBorder="1" applyAlignment="1">
      <alignment vertical="center" wrapText="1"/>
      <protection/>
    </xf>
    <xf numFmtId="0" fontId="2" fillId="0" borderId="0"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6" fillId="0" borderId="3" xfId="0" applyFont="1" applyFill="1" applyBorder="1" applyAlignment="1">
      <alignment horizontal="center" vertical="center"/>
    </xf>
    <xf numFmtId="196" fontId="7" fillId="0" borderId="3" xfId="0" applyNumberFormat="1" applyFont="1" applyFill="1" applyBorder="1" applyAlignment="1">
      <alignment horizontal="center" vertical="center" wrapText="1"/>
    </xf>
    <xf numFmtId="196" fontId="6" fillId="0" borderId="3" xfId="0" applyNumberFormat="1" applyFont="1" applyFill="1" applyBorder="1" applyAlignment="1">
      <alignment horizontal="center" vertical="center" wrapText="1"/>
    </xf>
    <xf numFmtId="196" fontId="6" fillId="0" borderId="3" xfId="347"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190" fontId="6" fillId="0" borderId="3" xfId="0" applyNumberFormat="1" applyFont="1" applyFill="1" applyBorder="1" applyAlignment="1">
      <alignment horizontal="center" vertical="center" wrapText="1"/>
    </xf>
    <xf numFmtId="190" fontId="6" fillId="0" borderId="3" xfId="347" applyNumberFormat="1" applyFont="1" applyFill="1" applyBorder="1" applyAlignment="1">
      <alignment horizontal="right" vertical="center" wrapText="1"/>
    </xf>
    <xf numFmtId="0" fontId="7" fillId="57" borderId="3" xfId="0" applyFont="1" applyFill="1" applyBorder="1" applyAlignment="1">
      <alignment horizontal="left" vertical="center" wrapText="1"/>
    </xf>
    <xf numFmtId="0" fontId="7" fillId="0" borderId="3" xfId="0" applyFont="1" applyFill="1" applyBorder="1" applyAlignment="1">
      <alignment horizontal="center" vertical="center"/>
    </xf>
    <xf numFmtId="196" fontId="7" fillId="43" borderId="3" xfId="0" applyNumberFormat="1" applyFont="1" applyFill="1" applyBorder="1" applyAlignment="1">
      <alignment horizontal="center" vertical="center" wrapText="1"/>
    </xf>
    <xf numFmtId="196" fontId="7" fillId="0" borderId="3" xfId="347" applyNumberFormat="1" applyFont="1" applyFill="1" applyBorder="1" applyAlignment="1">
      <alignment horizontal="right" vertical="center" wrapText="1"/>
    </xf>
    <xf numFmtId="196" fontId="6" fillId="41"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shrinkToFit="1"/>
    </xf>
    <xf numFmtId="49" fontId="6" fillId="0" borderId="3" xfId="0" applyNumberFormat="1" applyFont="1" applyFill="1" applyBorder="1" applyAlignment="1">
      <alignment horizontal="left" vertical="center" wrapText="1"/>
    </xf>
    <xf numFmtId="196" fontId="6" fillId="0" borderId="3" xfId="0" applyNumberFormat="1" applyFont="1" applyFill="1" applyBorder="1" applyAlignment="1">
      <alignment horizontal="left" vertical="center" wrapText="1"/>
    </xf>
    <xf numFmtId="49" fontId="6" fillId="57" borderId="3" xfId="0" applyNumberFormat="1" applyFont="1" applyFill="1" applyBorder="1" applyAlignment="1">
      <alignment horizontal="left" vertical="center" wrapText="1"/>
    </xf>
    <xf numFmtId="195" fontId="6" fillId="0" borderId="3" xfId="0" applyNumberFormat="1" applyFont="1" applyFill="1" applyBorder="1" applyAlignment="1">
      <alignment horizontal="left" vertical="center" wrapText="1"/>
    </xf>
    <xf numFmtId="0" fontId="4" fillId="58" borderId="0" xfId="0" applyFont="1" applyFill="1" applyAlignment="1">
      <alignment vertical="center"/>
    </xf>
    <xf numFmtId="190" fontId="6" fillId="0" borderId="3" xfId="0" applyNumberFormat="1" applyFont="1" applyFill="1" applyBorder="1" applyAlignment="1">
      <alignment horizontal="left" vertical="center" wrapText="1"/>
    </xf>
    <xf numFmtId="0" fontId="103" fillId="58" borderId="0" xfId="0" applyFont="1" applyFill="1" applyAlignment="1">
      <alignment vertical="center"/>
    </xf>
    <xf numFmtId="49" fontId="7" fillId="0" borderId="3" xfId="0" applyNumberFormat="1" applyFont="1" applyFill="1" applyBorder="1" applyAlignment="1">
      <alignment horizontal="left" vertical="center" wrapText="1"/>
    </xf>
    <xf numFmtId="196" fontId="7" fillId="7" borderId="3" xfId="0" applyNumberFormat="1" applyFont="1" applyFill="1" applyBorder="1" applyAlignment="1">
      <alignment horizontal="center" vertical="center" wrapText="1"/>
    </xf>
    <xf numFmtId="190" fontId="6" fillId="41" borderId="3" xfId="0" applyNumberFormat="1" applyFont="1" applyFill="1" applyBorder="1" applyAlignment="1">
      <alignment horizontal="center" vertical="center" wrapText="1"/>
    </xf>
    <xf numFmtId="190" fontId="7" fillId="4" borderId="3" xfId="0" applyNumberFormat="1" applyFont="1" applyFill="1" applyBorder="1" applyAlignment="1">
      <alignment horizontal="center" vertical="center" wrapText="1"/>
    </xf>
    <xf numFmtId="190" fontId="7" fillId="0" borderId="3" xfId="0" applyNumberFormat="1" applyFont="1" applyFill="1" applyBorder="1" applyAlignment="1">
      <alignment horizontal="center" vertical="center" wrapText="1"/>
    </xf>
    <xf numFmtId="190" fontId="7" fillId="0" borderId="3" xfId="347" applyNumberFormat="1" applyFont="1" applyFill="1" applyBorder="1" applyAlignment="1">
      <alignment horizontal="right" vertical="center" wrapText="1"/>
    </xf>
    <xf numFmtId="2" fontId="6" fillId="0" borderId="3" xfId="0" applyNumberFormat="1" applyFont="1" applyFill="1" applyBorder="1" applyAlignment="1">
      <alignment horizontal="center" vertical="center" wrapText="1"/>
    </xf>
    <xf numFmtId="2" fontId="6" fillId="0" borderId="3" xfId="347" applyNumberFormat="1" applyFont="1" applyFill="1" applyBorder="1" applyAlignment="1">
      <alignment horizontal="right" vertical="center" wrapText="1"/>
    </xf>
    <xf numFmtId="0" fontId="6" fillId="0" borderId="3" xfId="0" applyFont="1" applyFill="1" applyBorder="1" applyAlignment="1">
      <alignment horizontal="center"/>
    </xf>
    <xf numFmtId="0" fontId="7" fillId="0" borderId="3" xfId="0" applyFont="1" applyFill="1" applyBorder="1" applyAlignment="1">
      <alignment horizontal="center"/>
    </xf>
    <xf numFmtId="2" fontId="7" fillId="41" borderId="3" xfId="0" applyNumberFormat="1" applyFont="1" applyFill="1" applyBorder="1" applyAlignment="1">
      <alignment horizontal="center" vertical="center" wrapText="1"/>
    </xf>
    <xf numFmtId="2" fontId="7" fillId="0" borderId="3" xfId="0" applyNumberFormat="1" applyFont="1" applyFill="1" applyBorder="1" applyAlignment="1">
      <alignment horizontal="center" vertical="center" wrapText="1"/>
    </xf>
    <xf numFmtId="2" fontId="7" fillId="0" borderId="3" xfId="347" applyNumberFormat="1" applyFont="1" applyFill="1" applyBorder="1" applyAlignment="1">
      <alignment horizontal="right" vertical="center" wrapText="1"/>
    </xf>
    <xf numFmtId="0" fontId="17" fillId="0" borderId="0" xfId="0" applyFont="1" applyFill="1" applyBorder="1" applyAlignment="1">
      <alignment vertical="center"/>
    </xf>
    <xf numFmtId="0" fontId="4" fillId="0" borderId="0" xfId="0" applyFont="1" applyFill="1" applyBorder="1" applyAlignment="1">
      <alignment horizontal="left" vertical="justify"/>
    </xf>
    <xf numFmtId="0" fontId="4" fillId="0" borderId="23" xfId="0" applyFont="1" applyFill="1" applyBorder="1" applyAlignment="1">
      <alignment vertical="center"/>
    </xf>
    <xf numFmtId="0" fontId="4" fillId="0" borderId="27" xfId="0" applyFont="1" applyFill="1" applyBorder="1" applyAlignment="1">
      <alignment vertical="center"/>
    </xf>
    <xf numFmtId="0" fontId="18" fillId="0" borderId="3" xfId="0" applyFont="1" applyFill="1" applyBorder="1" applyAlignment="1">
      <alignment horizontal="left" vertical="center"/>
    </xf>
    <xf numFmtId="0" fontId="4" fillId="0" borderId="23" xfId="0" applyFont="1" applyFill="1" applyBorder="1" applyAlignment="1">
      <alignment vertical="center" wrapText="1"/>
    </xf>
    <xf numFmtId="0" fontId="4" fillId="0" borderId="3" xfId="0" applyFont="1" applyFill="1" applyBorder="1" applyAlignment="1">
      <alignment vertical="center"/>
    </xf>
    <xf numFmtId="0" fontId="4" fillId="0" borderId="27" xfId="0" applyFont="1" applyFill="1" applyBorder="1" applyAlignment="1">
      <alignment vertical="center" wrapText="1"/>
    </xf>
    <xf numFmtId="0" fontId="4" fillId="0" borderId="25" xfId="0" applyFont="1" applyFill="1" applyBorder="1" applyAlignment="1">
      <alignment vertical="center" wrapText="1"/>
    </xf>
    <xf numFmtId="0" fontId="4" fillId="0" borderId="3" xfId="0" applyFont="1" applyFill="1" applyBorder="1" applyAlignment="1">
      <alignment vertical="center" wrapText="1"/>
    </xf>
    <xf numFmtId="0" fontId="4" fillId="0" borderId="25" xfId="0" applyFont="1" applyFill="1" applyBorder="1" applyAlignment="1">
      <alignment vertical="center"/>
    </xf>
    <xf numFmtId="0" fontId="14" fillId="0" borderId="26" xfId="214" applyFont="1" applyFill="1" applyBorder="1" applyAlignment="1">
      <alignment horizontal="left" vertical="center" wrapText="1"/>
      <protection locked="0"/>
    </xf>
    <xf numFmtId="0" fontId="14" fillId="0" borderId="26" xfId="0" applyFont="1" applyFill="1" applyBorder="1" applyAlignment="1">
      <alignment horizontal="center" vertical="center" wrapText="1"/>
    </xf>
    <xf numFmtId="196" fontId="14" fillId="0" borderId="26" xfId="0" applyNumberFormat="1" applyFont="1" applyFill="1" applyBorder="1" applyAlignment="1">
      <alignment horizontal="center" vertical="center" wrapText="1"/>
    </xf>
    <xf numFmtId="199" fontId="14" fillId="0" borderId="26" xfId="0" applyNumberFormat="1" applyFont="1" applyFill="1" applyBorder="1" applyAlignment="1">
      <alignment horizontal="center" vertical="center" wrapText="1"/>
    </xf>
    <xf numFmtId="192" fontId="14" fillId="0" borderId="26" xfId="0" applyNumberFormat="1" applyFont="1" applyFill="1" applyBorder="1" applyAlignment="1">
      <alignment horizontal="right" vertical="center" wrapText="1"/>
    </xf>
    <xf numFmtId="0" fontId="14" fillId="0" borderId="3" xfId="214" applyFont="1" applyFill="1" applyBorder="1" applyAlignment="1">
      <alignment horizontal="left" vertical="center" wrapText="1"/>
      <protection locked="0"/>
    </xf>
    <xf numFmtId="0" fontId="14" fillId="0" borderId="3" xfId="0" applyFont="1" applyFill="1" applyBorder="1" applyAlignment="1">
      <alignment horizontal="center" vertical="center" wrapText="1"/>
    </xf>
    <xf numFmtId="199" fontId="14" fillId="0" borderId="3" xfId="0" applyNumberFormat="1" applyFont="1" applyFill="1" applyBorder="1" applyAlignment="1">
      <alignment horizontal="center" vertical="center" wrapText="1"/>
    </xf>
    <xf numFmtId="0" fontId="13" fillId="0" borderId="3" xfId="214" applyFont="1" applyFill="1" applyBorder="1" applyAlignment="1">
      <alignment horizontal="left" vertical="center" wrapText="1"/>
      <protection locked="0"/>
    </xf>
    <xf numFmtId="196" fontId="13" fillId="43" borderId="3" xfId="0" applyNumberFormat="1" applyFont="1" applyFill="1" applyBorder="1" applyAlignment="1">
      <alignment horizontal="center" vertical="center" wrapText="1"/>
    </xf>
    <xf numFmtId="199" fontId="13" fillId="0" borderId="3" xfId="0" applyNumberFormat="1" applyFont="1" applyFill="1" applyBorder="1" applyAlignment="1">
      <alignment horizontal="center" vertical="center" wrapText="1"/>
    </xf>
    <xf numFmtId="192" fontId="13" fillId="0" borderId="26" xfId="0" applyNumberFormat="1" applyFont="1" applyFill="1" applyBorder="1" applyAlignment="1">
      <alignment horizontal="right" vertical="center" wrapText="1"/>
    </xf>
    <xf numFmtId="0" fontId="14" fillId="0" borderId="3" xfId="0" applyFont="1" applyFill="1" applyBorder="1" applyAlignment="1">
      <alignment horizontal="center" vertical="center"/>
    </xf>
    <xf numFmtId="184" fontId="14" fillId="0" borderId="3" xfId="0" applyNumberFormat="1" applyFont="1" applyFill="1" applyBorder="1" applyAlignment="1">
      <alignment horizontal="center" vertical="center" wrapText="1"/>
    </xf>
    <xf numFmtId="0" fontId="14" fillId="0" borderId="3" xfId="0" applyFont="1" applyFill="1" applyBorder="1" applyAlignment="1">
      <alignment horizontal="left" vertical="center" wrapText="1" shrinkToFit="1"/>
    </xf>
    <xf numFmtId="0" fontId="13" fillId="0" borderId="3" xfId="0" applyFont="1" applyFill="1" applyBorder="1" applyAlignment="1" applyProtection="1">
      <alignment horizontal="left" vertical="center" wrapText="1"/>
      <protection locked="0"/>
    </xf>
    <xf numFmtId="184" fontId="13" fillId="0" borderId="3" xfId="0" applyNumberFormat="1" applyFont="1" applyFill="1" applyBorder="1" applyAlignment="1">
      <alignment horizontal="center" vertical="center" wrapText="1"/>
    </xf>
    <xf numFmtId="200" fontId="13" fillId="4" borderId="3" xfId="0" applyNumberFormat="1" applyFont="1" applyFill="1" applyBorder="1" applyAlignment="1">
      <alignment horizontal="center" vertical="center" wrapText="1"/>
    </xf>
    <xf numFmtId="184" fontId="14" fillId="0" borderId="26" xfId="0" applyNumberFormat="1" applyFont="1" applyFill="1" applyBorder="1" applyAlignment="1">
      <alignment horizontal="center" vertical="center" wrapText="1"/>
    </xf>
    <xf numFmtId="200" fontId="14" fillId="0" borderId="26" xfId="0" applyNumberFormat="1" applyFont="1" applyFill="1" applyBorder="1" applyAlignment="1">
      <alignment horizontal="center" vertical="center" wrapText="1"/>
    </xf>
    <xf numFmtId="1" fontId="14" fillId="0" borderId="3" xfId="0" applyNumberFormat="1" applyFont="1" applyFill="1" applyBorder="1" applyAlignment="1">
      <alignment horizontal="center" vertical="center" wrapText="1"/>
    </xf>
    <xf numFmtId="0" fontId="14" fillId="0" borderId="23" xfId="0" applyFont="1" applyFill="1" applyBorder="1" applyAlignment="1">
      <alignment horizontal="center" vertical="center" wrapText="1"/>
    </xf>
    <xf numFmtId="0" fontId="0" fillId="0" borderId="0" xfId="0" applyFill="1" applyAlignment="1">
      <alignment/>
    </xf>
    <xf numFmtId="196" fontId="13" fillId="7" borderId="3" xfId="0" applyNumberFormat="1" applyFont="1" applyFill="1" applyBorder="1" applyAlignment="1">
      <alignment horizontal="center" vertical="center" wrapText="1"/>
    </xf>
    <xf numFmtId="0" fontId="14" fillId="0" borderId="3" xfId="0" applyFont="1" applyFill="1" applyBorder="1" applyAlignment="1">
      <alignment horizontal="center"/>
    </xf>
    <xf numFmtId="0" fontId="14" fillId="0" borderId="26" xfId="297" applyFont="1" applyFill="1" applyBorder="1" applyAlignment="1">
      <alignment horizontal="left" vertical="center" wrapText="1"/>
      <protection/>
    </xf>
    <xf numFmtId="0" fontId="14" fillId="0" borderId="26" xfId="0" applyFont="1" applyFill="1" applyBorder="1" applyAlignment="1">
      <alignment horizontal="center" vertical="center"/>
    </xf>
    <xf numFmtId="0" fontId="14" fillId="0" borderId="3" xfId="297" applyFont="1" applyFill="1" applyBorder="1" applyAlignment="1">
      <alignment horizontal="left" vertical="center" wrapText="1"/>
      <protection/>
    </xf>
    <xf numFmtId="184" fontId="14" fillId="41" borderId="26" xfId="0" applyNumberFormat="1" applyFont="1" applyFill="1" applyBorder="1" applyAlignment="1">
      <alignment horizontal="center" vertical="center" wrapText="1"/>
    </xf>
    <xf numFmtId="184" fontId="21" fillId="0" borderId="3" xfId="0" applyNumberFormat="1" applyFont="1" applyFill="1" applyBorder="1" applyAlignment="1">
      <alignment horizontal="center" vertical="center" wrapText="1"/>
    </xf>
    <xf numFmtId="0" fontId="13" fillId="0" borderId="3" xfId="297" applyFont="1" applyFill="1" applyBorder="1" applyAlignment="1">
      <alignment horizontal="left" vertical="center" wrapText="1"/>
      <protection/>
    </xf>
    <xf numFmtId="196" fontId="14" fillId="43" borderId="3" xfId="0" applyNumberFormat="1" applyFont="1" applyFill="1" applyBorder="1" applyAlignment="1">
      <alignment horizontal="center" vertical="center" wrapText="1"/>
    </xf>
    <xf numFmtId="196" fontId="14" fillId="0" borderId="3" xfId="0" applyNumberFormat="1" applyFont="1" applyFill="1" applyBorder="1" applyAlignment="1">
      <alignment horizontal="center" vertical="center" wrapText="1"/>
    </xf>
    <xf numFmtId="196" fontId="14" fillId="0" borderId="26" xfId="0" applyNumberFormat="1" applyFont="1" applyFill="1" applyBorder="1" applyAlignment="1">
      <alignment horizontal="right" vertical="center" wrapText="1"/>
    </xf>
    <xf numFmtId="0" fontId="14" fillId="0" borderId="3" xfId="297" applyFont="1" applyFill="1" applyBorder="1" applyAlignment="1">
      <alignment horizontal="center" vertical="center"/>
      <protection/>
    </xf>
    <xf numFmtId="190" fontId="13" fillId="0" borderId="26" xfId="0" applyNumberFormat="1" applyFont="1" applyFill="1" applyBorder="1" applyAlignment="1">
      <alignment horizontal="center" vertical="center" wrapText="1"/>
    </xf>
    <xf numFmtId="190" fontId="13" fillId="0" borderId="3" xfId="0" applyNumberFormat="1"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190" fontId="14" fillId="0" borderId="26" xfId="0" applyNumberFormat="1" applyFont="1" applyFill="1" applyBorder="1" applyAlignment="1">
      <alignment horizontal="center" vertical="center" wrapText="1"/>
    </xf>
    <xf numFmtId="190" fontId="14" fillId="0" borderId="3" xfId="0" applyNumberFormat="1" applyFont="1" applyFill="1" applyBorder="1" applyAlignment="1">
      <alignment horizontal="center" vertical="center" wrapText="1"/>
    </xf>
    <xf numFmtId="0" fontId="13" fillId="0" borderId="26" xfId="0" applyFont="1" applyFill="1" applyBorder="1" applyAlignment="1" applyProtection="1">
      <alignment horizontal="left" vertical="center" wrapText="1"/>
      <protection locked="0"/>
    </xf>
    <xf numFmtId="0" fontId="14" fillId="0" borderId="22" xfId="0" applyFont="1" applyFill="1" applyBorder="1" applyAlignment="1">
      <alignment horizontal="center" vertical="center"/>
    </xf>
    <xf numFmtId="0" fontId="13" fillId="0" borderId="22" xfId="0" applyFont="1" applyFill="1" applyBorder="1" applyAlignment="1" applyProtection="1">
      <alignment horizontal="left" vertical="center" wrapText="1"/>
      <protection locked="0"/>
    </xf>
    <xf numFmtId="190" fontId="13" fillId="43" borderId="3" xfId="0" applyNumberFormat="1" applyFont="1" applyFill="1" applyBorder="1" applyAlignment="1">
      <alignment horizontal="center" vertical="center" wrapText="1"/>
    </xf>
    <xf numFmtId="0" fontId="14" fillId="0" borderId="26" xfId="0" applyNumberFormat="1" applyFont="1" applyFill="1" applyBorder="1" applyAlignment="1">
      <alignment horizontal="center" vertical="center"/>
    </xf>
    <xf numFmtId="196" fontId="13" fillId="43" borderId="26" xfId="0" applyNumberFormat="1" applyFont="1" applyFill="1" applyBorder="1" applyAlignment="1">
      <alignment horizontal="center" vertical="center" wrapText="1"/>
    </xf>
    <xf numFmtId="196" fontId="13" fillId="0" borderId="3" xfId="0" applyNumberFormat="1" applyFont="1" applyFill="1" applyBorder="1" applyAlignment="1">
      <alignment horizontal="center" vertical="center" wrapText="1"/>
    </xf>
    <xf numFmtId="196" fontId="14" fillId="3" borderId="26" xfId="0" applyNumberFormat="1" applyFont="1" applyFill="1" applyBorder="1" applyAlignment="1">
      <alignment horizontal="center" vertical="center" wrapText="1"/>
    </xf>
    <xf numFmtId="0" fontId="14" fillId="0" borderId="28" xfId="297" applyFont="1" applyFill="1" applyBorder="1" applyAlignment="1">
      <alignment horizontal="left" vertical="center" wrapText="1"/>
      <protection/>
    </xf>
    <xf numFmtId="0" fontId="14" fillId="0" borderId="28" xfId="0" applyNumberFormat="1" applyFont="1" applyFill="1" applyBorder="1" applyAlignment="1">
      <alignment horizontal="center" vertical="center"/>
    </xf>
    <xf numFmtId="196" fontId="14" fillId="3" borderId="28" xfId="0" applyNumberFormat="1" applyFont="1" applyFill="1" applyBorder="1" applyAlignment="1">
      <alignment horizontal="center" vertical="center" wrapText="1"/>
    </xf>
    <xf numFmtId="196" fontId="14" fillId="0" borderId="28" xfId="0" applyNumberFormat="1" applyFont="1" applyFill="1" applyBorder="1" applyAlignment="1">
      <alignment horizontal="center" vertical="center" wrapText="1"/>
    </xf>
    <xf numFmtId="192" fontId="14" fillId="0" borderId="28" xfId="0" applyNumberFormat="1" applyFont="1" applyFill="1" applyBorder="1" applyAlignment="1">
      <alignment horizontal="right" vertical="center" wrapText="1"/>
    </xf>
    <xf numFmtId="0" fontId="14" fillId="0" borderId="26" xfId="0" applyFont="1" applyFill="1" applyBorder="1" applyAlignment="1" applyProtection="1">
      <alignment horizontal="left" vertical="center" wrapText="1"/>
      <protection locked="0"/>
    </xf>
    <xf numFmtId="196" fontId="14" fillId="4" borderId="26" xfId="0" applyNumberFormat="1" applyFont="1" applyFill="1" applyBorder="1" applyAlignment="1">
      <alignment horizontal="center" vertical="center" wrapText="1"/>
    </xf>
    <xf numFmtId="196" fontId="14" fillId="4" borderId="3" xfId="0" applyNumberFormat="1" applyFont="1" applyFill="1" applyBorder="1" applyAlignment="1">
      <alignment horizontal="center" vertical="center" wrapText="1"/>
    </xf>
    <xf numFmtId="197" fontId="14" fillId="4" borderId="26" xfId="0" applyNumberFormat="1" applyFont="1" applyFill="1" applyBorder="1" applyAlignment="1">
      <alignment horizontal="center" vertical="center" wrapText="1"/>
    </xf>
    <xf numFmtId="195" fontId="14" fillId="4" borderId="26" xfId="0" applyNumberFormat="1" applyFont="1" applyFill="1" applyBorder="1" applyAlignment="1">
      <alignment horizontal="center" vertical="center" wrapText="1"/>
    </xf>
    <xf numFmtId="200" fontId="14" fillId="4" borderId="26" xfId="0" applyNumberFormat="1" applyFont="1" applyFill="1" applyBorder="1" applyAlignment="1">
      <alignment horizontal="center" vertical="center" wrapText="1"/>
    </xf>
    <xf numFmtId="200" fontId="14" fillId="4" borderId="3" xfId="0" applyNumberFormat="1" applyFont="1" applyFill="1" applyBorder="1" applyAlignment="1">
      <alignment horizontal="center" vertical="center" wrapText="1"/>
    </xf>
    <xf numFmtId="197" fontId="14" fillId="4" borderId="3" xfId="0" applyNumberFormat="1" applyFont="1" applyFill="1" applyBorder="1" applyAlignment="1">
      <alignment horizontal="center" vertical="center" wrapText="1"/>
    </xf>
    <xf numFmtId="195" fontId="14" fillId="4" borderId="3" xfId="0" applyNumberFormat="1" applyFont="1" applyFill="1" applyBorder="1" applyAlignment="1">
      <alignment horizontal="center" vertical="center" wrapText="1"/>
    </xf>
    <xf numFmtId="0" fontId="14" fillId="0" borderId="22" xfId="0" applyFont="1" applyFill="1" applyBorder="1" applyAlignment="1" applyProtection="1">
      <alignment horizontal="left" vertical="center" wrapText="1"/>
      <protection locked="0"/>
    </xf>
    <xf numFmtId="197" fontId="14" fillId="4" borderId="22" xfId="0" applyNumberFormat="1" applyFont="1" applyFill="1" applyBorder="1" applyAlignment="1">
      <alignment horizontal="center" vertical="center" wrapText="1"/>
    </xf>
    <xf numFmtId="195" fontId="14" fillId="4" borderId="22" xfId="0" applyNumberFormat="1" applyFont="1" applyFill="1" applyBorder="1" applyAlignment="1">
      <alignment horizontal="center" vertical="center" wrapText="1"/>
    </xf>
    <xf numFmtId="200" fontId="14" fillId="4" borderId="22" xfId="0" applyNumberFormat="1" applyFont="1" applyFill="1" applyBorder="1" applyAlignment="1">
      <alignment horizontal="center" vertical="center" wrapText="1"/>
    </xf>
    <xf numFmtId="0" fontId="14" fillId="0" borderId="28" xfId="0" applyFont="1" applyFill="1" applyBorder="1" applyAlignment="1" applyProtection="1">
      <alignment horizontal="left" vertical="center" wrapText="1"/>
      <protection locked="0"/>
    </xf>
    <xf numFmtId="0" fontId="14" fillId="0" borderId="28" xfId="0" applyFont="1" applyFill="1" applyBorder="1" applyAlignment="1">
      <alignment horizontal="center" vertical="center"/>
    </xf>
    <xf numFmtId="197" fontId="14" fillId="4" borderId="28" xfId="0" applyNumberFormat="1" applyFont="1" applyFill="1" applyBorder="1" applyAlignment="1">
      <alignment horizontal="center" vertical="center" wrapText="1"/>
    </xf>
    <xf numFmtId="195" fontId="14" fillId="4" borderId="28" xfId="0" applyNumberFormat="1" applyFont="1" applyFill="1" applyBorder="1" applyAlignment="1">
      <alignment horizontal="center" vertical="center" wrapText="1"/>
    </xf>
    <xf numFmtId="200" fontId="14" fillId="4" borderId="28" xfId="0" applyNumberFormat="1" applyFont="1" applyFill="1" applyBorder="1" applyAlignment="1">
      <alignment horizontal="center" vertical="center" wrapText="1"/>
    </xf>
    <xf numFmtId="2" fontId="14" fillId="3" borderId="26" xfId="0" applyNumberFormat="1" applyFont="1" applyFill="1" applyBorder="1" applyAlignment="1">
      <alignment horizontal="center" vertical="center" wrapText="1"/>
    </xf>
    <xf numFmtId="184" fontId="14" fillId="3" borderId="26" xfId="0" applyNumberFormat="1" applyFont="1" applyFill="1" applyBorder="1" applyAlignment="1">
      <alignment horizontal="center" vertical="center" wrapText="1"/>
    </xf>
    <xf numFmtId="192" fontId="14" fillId="0" borderId="3" xfId="0" applyNumberFormat="1" applyFont="1" applyFill="1" applyBorder="1" applyAlignment="1">
      <alignment horizontal="center" vertical="center" wrapText="1"/>
    </xf>
    <xf numFmtId="2" fontId="14" fillId="41" borderId="3" xfId="0" applyNumberFormat="1" applyFont="1" applyFill="1" applyBorder="1" applyAlignment="1">
      <alignment horizontal="center" vertical="center" wrapText="1"/>
    </xf>
    <xf numFmtId="196" fontId="14" fillId="41" borderId="3" xfId="0" applyNumberFormat="1" applyFont="1" applyFill="1" applyBorder="1" applyAlignment="1">
      <alignment horizontal="center" vertical="center" wrapText="1"/>
    </xf>
    <xf numFmtId="184" fontId="14" fillId="41" borderId="3" xfId="0" applyNumberFormat="1" applyFont="1" applyFill="1" applyBorder="1" applyAlignment="1">
      <alignment horizontal="center" vertical="center" wrapText="1"/>
    </xf>
    <xf numFmtId="2" fontId="13" fillId="3" borderId="26" xfId="0" applyNumberFormat="1" applyFont="1" applyFill="1" applyBorder="1" applyAlignment="1">
      <alignment horizontal="center" vertical="center" wrapText="1"/>
    </xf>
    <xf numFmtId="196" fontId="13" fillId="3" borderId="26" xfId="0" applyNumberFormat="1" applyFont="1" applyFill="1" applyBorder="1" applyAlignment="1">
      <alignment horizontal="center" vertical="center" wrapText="1"/>
    </xf>
    <xf numFmtId="184" fontId="13" fillId="3" borderId="26" xfId="0" applyNumberFormat="1" applyFont="1" applyFill="1" applyBorder="1" applyAlignment="1">
      <alignment horizontal="center" vertical="center" wrapText="1"/>
    </xf>
    <xf numFmtId="195" fontId="14" fillId="3" borderId="26" xfId="0" applyNumberFormat="1" applyFont="1" applyFill="1" applyBorder="1" applyAlignment="1">
      <alignment horizontal="center" vertical="center" wrapText="1"/>
    </xf>
    <xf numFmtId="2" fontId="13" fillId="41" borderId="3" xfId="0" applyNumberFormat="1" applyFont="1" applyFill="1" applyBorder="1" applyAlignment="1">
      <alignment horizontal="center" vertical="center" wrapText="1"/>
    </xf>
    <xf numFmtId="184" fontId="13" fillId="41" borderId="3" xfId="0" applyNumberFormat="1" applyFont="1" applyFill="1" applyBorder="1" applyAlignment="1">
      <alignment horizontal="center" vertical="center" wrapText="1"/>
    </xf>
    <xf numFmtId="198" fontId="14" fillId="3" borderId="26"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xf>
    <xf numFmtId="184" fontId="13" fillId="43" borderId="26" xfId="0" applyNumberFormat="1" applyFont="1" applyFill="1" applyBorder="1" applyAlignment="1">
      <alignment horizontal="center" vertical="center" wrapText="1"/>
    </xf>
    <xf numFmtId="184" fontId="13" fillId="0" borderId="26"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xf>
    <xf numFmtId="184" fontId="14" fillId="3" borderId="3" xfId="0" applyNumberFormat="1" applyFont="1" applyFill="1" applyBorder="1" applyAlignment="1">
      <alignment horizontal="center" vertical="center" wrapText="1"/>
    </xf>
    <xf numFmtId="184" fontId="13" fillId="43" borderId="3"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xf>
    <xf numFmtId="196" fontId="13" fillId="0" borderId="26" xfId="0" applyNumberFormat="1" applyFont="1" applyFill="1" applyBorder="1" applyAlignment="1">
      <alignment horizontal="right" vertical="center" wrapText="1"/>
    </xf>
    <xf numFmtId="49" fontId="4" fillId="0" borderId="0" xfId="0" applyNumberFormat="1" applyFont="1" applyFill="1" applyBorder="1" applyAlignment="1">
      <alignment horizontal="center" vertical="center"/>
    </xf>
    <xf numFmtId="184" fontId="4" fillId="0" borderId="0" xfId="0" applyNumberFormat="1" applyFont="1" applyFill="1" applyBorder="1" applyAlignment="1">
      <alignment horizontal="center" vertical="center" wrapText="1"/>
    </xf>
    <xf numFmtId="184" fontId="22" fillId="0" borderId="0" xfId="0" applyNumberFormat="1" applyFont="1" applyFill="1" applyBorder="1" applyAlignment="1">
      <alignment horizontal="center" vertical="center" wrapText="1"/>
    </xf>
    <xf numFmtId="192" fontId="2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left" vertical="center"/>
      <protection locked="0"/>
    </xf>
    <xf numFmtId="0" fontId="22" fillId="57" borderId="3"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3" xfId="0" applyFont="1" applyFill="1" applyBorder="1" applyAlignment="1">
      <alignment vertical="center"/>
    </xf>
    <xf numFmtId="0" fontId="22" fillId="59" borderId="29" xfId="289" applyFont="1" applyFill="1" applyBorder="1" applyAlignment="1">
      <alignment wrapText="1"/>
      <protection/>
    </xf>
    <xf numFmtId="0" fontId="22" fillId="59" borderId="30" xfId="289" applyFont="1" applyFill="1" applyBorder="1" applyAlignment="1">
      <alignment wrapText="1"/>
      <protection/>
    </xf>
    <xf numFmtId="0" fontId="78" fillId="0" borderId="3" xfId="0" applyFont="1" applyFill="1" applyBorder="1" applyAlignment="1">
      <alignment horizontal="left" vertical="center" wrapText="1"/>
    </xf>
    <xf numFmtId="200" fontId="14" fillId="0" borderId="26" xfId="0" applyNumberFormat="1" applyFont="1" applyFill="1" applyBorder="1" applyAlignment="1">
      <alignment vertical="center" wrapText="1"/>
    </xf>
    <xf numFmtId="196" fontId="7" fillId="57" borderId="3" xfId="0" applyNumberFormat="1" applyFont="1" applyFill="1" applyBorder="1" applyAlignment="1">
      <alignment horizontal="center" vertical="center" wrapText="1"/>
    </xf>
    <xf numFmtId="200" fontId="4" fillId="0" borderId="3" xfId="0" applyNumberFormat="1" applyFont="1" applyFill="1" applyBorder="1" applyAlignment="1">
      <alignment horizontal="center" vertical="center" wrapText="1"/>
    </xf>
    <xf numFmtId="190" fontId="4" fillId="57" borderId="3" xfId="0" applyNumberFormat="1" applyFont="1" applyFill="1" applyBorder="1" applyAlignment="1">
      <alignment horizontal="center" vertical="center" wrapText="1"/>
    </xf>
    <xf numFmtId="0" fontId="10" fillId="0" borderId="3" xfId="0" applyFont="1" applyBorder="1" applyAlignment="1">
      <alignment/>
    </xf>
    <xf numFmtId="194" fontId="6" fillId="0" borderId="3" xfId="0" applyNumberFormat="1" applyFont="1" applyFill="1" applyBorder="1" applyAlignment="1">
      <alignment horizontal="center" vertical="center" wrapText="1"/>
    </xf>
    <xf numFmtId="49" fontId="104" fillId="58" borderId="3" xfId="0" applyNumberFormat="1"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5"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27" xfId="0" applyFill="1" applyBorder="1" applyAlignment="1">
      <alignment horizontal="left" vertical="center" wrapText="1"/>
    </xf>
    <xf numFmtId="0" fontId="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297" applyFont="1" applyFill="1" applyBorder="1" applyAlignment="1">
      <alignment horizontal="center" vertical="center"/>
      <protection/>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4"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31"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0" fontId="13" fillId="0" borderId="33"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0" fontId="13" fillId="0" borderId="37" xfId="289" applyNumberFormat="1" applyFont="1" applyFill="1" applyBorder="1" applyAlignment="1">
      <alignment horizontal="center" vertical="center" wrapText="1"/>
      <protection/>
    </xf>
    <xf numFmtId="0" fontId="13" fillId="0" borderId="38" xfId="289" applyNumberFormat="1" applyFont="1" applyFill="1" applyBorder="1" applyAlignment="1">
      <alignment horizontal="center" vertical="center" wrapText="1"/>
      <protection/>
    </xf>
    <xf numFmtId="0" fontId="13" fillId="0" borderId="39" xfId="289" applyNumberFormat="1" applyFont="1" applyFill="1" applyBorder="1" applyAlignment="1">
      <alignment horizontal="center" vertical="center" wrapText="1"/>
      <protection/>
    </xf>
    <xf numFmtId="192" fontId="4"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23"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7" xfId="0" applyFont="1" applyFill="1" applyBorder="1" applyAlignment="1">
      <alignment horizontal="left" vertical="center" wrapText="1"/>
    </xf>
    <xf numFmtId="192" fontId="4" fillId="0" borderId="0" xfId="0" applyNumberFormat="1" applyFont="1" applyFill="1" applyBorder="1" applyAlignment="1">
      <alignment horizontal="left" vertical="center" wrapText="1"/>
    </xf>
    <xf numFmtId="0" fontId="4" fillId="0" borderId="0" xfId="0" applyFont="1" applyFill="1" applyBorder="1" applyAlignment="1">
      <alignment vertical="center"/>
    </xf>
    <xf numFmtId="0" fontId="2" fillId="0" borderId="0" xfId="297" applyFont="1" applyFill="1" applyBorder="1" applyAlignment="1">
      <alignment horizontal="center" vertical="center"/>
      <protection/>
    </xf>
    <xf numFmtId="0" fontId="12" fillId="0" borderId="3" xfId="0" applyFont="1" applyFill="1" applyBorder="1" applyAlignment="1">
      <alignment horizontal="center" vertical="center" wrapText="1"/>
    </xf>
    <xf numFmtId="0" fontId="12" fillId="0" borderId="3" xfId="297" applyFont="1" applyFill="1" applyBorder="1" applyAlignment="1">
      <alignment horizontal="center" vertical="center"/>
      <protection/>
    </xf>
    <xf numFmtId="0" fontId="2" fillId="0" borderId="3" xfId="297" applyFont="1" applyFill="1" applyBorder="1" applyAlignment="1">
      <alignment horizontal="left" vertical="center" wrapText="1"/>
      <protection/>
    </xf>
    <xf numFmtId="0" fontId="4" fillId="0" borderId="0" xfId="0" applyFont="1" applyFill="1" applyAlignment="1">
      <alignment horizontal="left" vertical="center"/>
    </xf>
    <xf numFmtId="0" fontId="4" fillId="0" borderId="3" xfId="297" applyFont="1" applyFill="1" applyBorder="1" applyAlignment="1">
      <alignment horizontal="center" vertical="center" wrapText="1"/>
      <protection/>
    </xf>
    <xf numFmtId="0" fontId="4" fillId="0" borderId="3"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26" xfId="0" applyFont="1" applyFill="1" applyBorder="1" applyAlignment="1">
      <alignment horizontal="center" vertical="center"/>
    </xf>
    <xf numFmtId="0" fontId="2" fillId="0" borderId="0" xfId="289" applyNumberFormat="1" applyFont="1" applyFill="1" applyBorder="1" applyAlignment="1">
      <alignment horizontal="center" vertical="center" wrapText="1"/>
      <protection/>
    </xf>
    <xf numFmtId="0" fontId="4" fillId="0" borderId="22" xfId="289" applyNumberFormat="1" applyFont="1" applyFill="1" applyBorder="1" applyAlignment="1">
      <alignment horizontal="center" vertical="center" wrapText="1"/>
      <protection/>
    </xf>
    <xf numFmtId="0" fontId="4" fillId="0" borderId="26" xfId="289" applyNumberFormat="1" applyFont="1" applyFill="1" applyBorder="1" applyAlignment="1">
      <alignment horizontal="center" vertical="center" wrapText="1"/>
      <protection/>
    </xf>
    <xf numFmtId="0" fontId="2" fillId="0" borderId="0" xfId="0" applyFont="1" applyFill="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4" fillId="0" borderId="0" xfId="0" applyFont="1" applyFill="1" applyAlignment="1">
      <alignment vertical="center"/>
    </xf>
    <xf numFmtId="0" fontId="4" fillId="0" borderId="2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3" fillId="0" borderId="3" xfId="0" applyFont="1" applyFill="1" applyBorder="1" applyAlignment="1">
      <alignment horizontal="left" vertical="center" wrapText="1"/>
    </xf>
    <xf numFmtId="196" fontId="13" fillId="41" borderId="23" xfId="0" applyNumberFormat="1" applyFont="1" applyFill="1" applyBorder="1" applyAlignment="1">
      <alignment horizontal="center" vertical="center" wrapText="1"/>
    </xf>
    <xf numFmtId="196" fontId="13" fillId="41" borderId="25" xfId="0" applyNumberFormat="1" applyFont="1" applyFill="1" applyBorder="1" applyAlignment="1">
      <alignment horizontal="center" vertical="center" wrapText="1"/>
    </xf>
    <xf numFmtId="196" fontId="13" fillId="41" borderId="27" xfId="0" applyNumberFormat="1" applyFont="1" applyFill="1" applyBorder="1" applyAlignment="1">
      <alignment horizontal="center" vertical="center" wrapText="1"/>
    </xf>
    <xf numFmtId="195" fontId="13" fillId="0" borderId="3" xfId="0" applyNumberFormat="1" applyFont="1" applyFill="1" applyBorder="1" applyAlignment="1">
      <alignment horizontal="center" vertical="center" wrapText="1"/>
    </xf>
    <xf numFmtId="195" fontId="13" fillId="0" borderId="23" xfId="347" applyNumberFormat="1" applyFont="1" applyFill="1" applyBorder="1" applyAlignment="1">
      <alignment horizontal="right" vertical="center" wrapText="1"/>
    </xf>
    <xf numFmtId="195" fontId="13" fillId="0" borderId="27" xfId="347" applyNumberFormat="1" applyFont="1" applyFill="1" applyBorder="1" applyAlignment="1">
      <alignment horizontal="right" vertical="center" wrapText="1"/>
    </xf>
    <xf numFmtId="0" fontId="14" fillId="0" borderId="3" xfId="0" applyFont="1" applyFill="1" applyBorder="1" applyAlignment="1">
      <alignment horizontal="left" vertical="center" wrapText="1"/>
    </xf>
    <xf numFmtId="196" fontId="14" fillId="0" borderId="23" xfId="0" applyNumberFormat="1" applyFont="1" applyFill="1" applyBorder="1" applyAlignment="1">
      <alignment horizontal="center" vertical="center" wrapText="1"/>
    </xf>
    <xf numFmtId="196" fontId="14" fillId="0" borderId="25" xfId="0" applyNumberFormat="1" applyFont="1" applyFill="1" applyBorder="1" applyAlignment="1">
      <alignment horizontal="center" vertical="center" wrapText="1"/>
    </xf>
    <xf numFmtId="196" fontId="14" fillId="0" borderId="27" xfId="0" applyNumberFormat="1" applyFont="1" applyFill="1" applyBorder="1" applyAlignment="1">
      <alignment horizontal="center" vertical="center" wrapText="1"/>
    </xf>
    <xf numFmtId="196" fontId="14" fillId="57" borderId="23" xfId="0" applyNumberFormat="1" applyFont="1" applyFill="1" applyBorder="1" applyAlignment="1">
      <alignment horizontal="center" vertical="center" wrapText="1"/>
    </xf>
    <xf numFmtId="196" fontId="14" fillId="57" borderId="25" xfId="0" applyNumberFormat="1" applyFont="1" applyFill="1" applyBorder="1" applyAlignment="1">
      <alignment horizontal="center" vertical="center" wrapText="1"/>
    </xf>
    <xf numFmtId="196" fontId="14" fillId="57" borderId="27" xfId="0" applyNumberFormat="1" applyFont="1" applyFill="1" applyBorder="1" applyAlignment="1">
      <alignment horizontal="center" vertical="center" wrapText="1"/>
    </xf>
    <xf numFmtId="195" fontId="14" fillId="0" borderId="3" xfId="0" applyNumberFormat="1" applyFont="1" applyFill="1" applyBorder="1" applyAlignment="1">
      <alignment horizontal="center" vertical="center" wrapText="1"/>
    </xf>
    <xf numFmtId="195" fontId="14" fillId="0" borderId="23" xfId="347" applyNumberFormat="1" applyFont="1" applyFill="1" applyBorder="1" applyAlignment="1">
      <alignment horizontal="right" vertical="center" wrapText="1"/>
    </xf>
    <xf numFmtId="195" fontId="14" fillId="0" borderId="27" xfId="347" applyNumberFormat="1" applyFont="1" applyFill="1" applyBorder="1" applyAlignment="1">
      <alignment horizontal="right" vertical="center" wrapText="1"/>
    </xf>
    <xf numFmtId="196" fontId="13" fillId="58" borderId="23" xfId="0" applyNumberFormat="1" applyFont="1" applyFill="1" applyBorder="1" applyAlignment="1">
      <alignment horizontal="center" vertical="center" wrapText="1"/>
    </xf>
    <xf numFmtId="196" fontId="13" fillId="58" borderId="25" xfId="0" applyNumberFormat="1" applyFont="1" applyFill="1" applyBorder="1" applyAlignment="1">
      <alignment horizontal="center" vertical="center" wrapText="1"/>
    </xf>
    <xf numFmtId="196" fontId="13" fillId="58" borderId="27" xfId="0" applyNumberFormat="1" applyFont="1" applyFill="1" applyBorder="1" applyAlignment="1">
      <alignment horizontal="center" vertical="center" wrapText="1"/>
    </xf>
    <xf numFmtId="196" fontId="14" fillId="41" borderId="23" xfId="0" applyNumberFormat="1" applyFont="1" applyFill="1" applyBorder="1" applyAlignment="1">
      <alignment horizontal="center" vertical="center" wrapText="1"/>
    </xf>
    <xf numFmtId="196" fontId="14" fillId="41" borderId="25" xfId="0" applyNumberFormat="1" applyFont="1" applyFill="1" applyBorder="1" applyAlignment="1">
      <alignment horizontal="center" vertical="center" wrapText="1"/>
    </xf>
    <xf numFmtId="196" fontId="14" fillId="41" borderId="27" xfId="0" applyNumberFormat="1" applyFont="1" applyFill="1" applyBorder="1" applyAlignment="1">
      <alignment horizontal="center" vertical="center" wrapText="1"/>
    </xf>
    <xf numFmtId="0" fontId="4" fillId="0" borderId="0" xfId="0" applyFont="1" applyFill="1" applyBorder="1" applyAlignment="1">
      <alignment horizontal="justify" vertical="center" wrapText="1" shrinkToFit="1"/>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49" fontId="4" fillId="0" borderId="23"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0" fontId="2" fillId="0" borderId="23" xfId="0" applyFont="1" applyFill="1" applyBorder="1" applyAlignment="1">
      <alignment horizontal="left" vertical="center"/>
    </xf>
    <xf numFmtId="0" fontId="2" fillId="0" borderId="25" xfId="0" applyFont="1" applyFill="1" applyBorder="1" applyAlignment="1">
      <alignment horizontal="left" vertical="center"/>
    </xf>
    <xf numFmtId="0" fontId="2" fillId="0" borderId="27" xfId="0" applyFont="1" applyFill="1" applyBorder="1" applyAlignment="1">
      <alignment horizontal="left" vertical="center"/>
    </xf>
    <xf numFmtId="0" fontId="4" fillId="0" borderId="27" xfId="0" applyFont="1" applyFill="1" applyBorder="1" applyAlignment="1">
      <alignment horizontal="center" vertical="center"/>
    </xf>
    <xf numFmtId="3" fontId="4" fillId="0" borderId="3" xfId="0" applyNumberFormat="1" applyFont="1" applyFill="1" applyBorder="1" applyAlignment="1">
      <alignment horizontal="center" vertical="center" wrapText="1"/>
    </xf>
    <xf numFmtId="192"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191" fontId="4" fillId="0" borderId="23" xfId="0" applyNumberFormat="1" applyFont="1" applyFill="1" applyBorder="1" applyAlignment="1">
      <alignment horizontal="center" vertical="center" wrapText="1"/>
    </xf>
    <xf numFmtId="191" fontId="4" fillId="0" borderId="27" xfId="0" applyNumberFormat="1" applyFont="1" applyFill="1" applyBorder="1" applyAlignment="1">
      <alignment horizontal="center" vertical="center" wrapText="1"/>
    </xf>
    <xf numFmtId="49" fontId="4" fillId="0" borderId="23" xfId="0" applyNumberFormat="1" applyFont="1" applyFill="1" applyBorder="1" applyAlignment="1">
      <alignment horizontal="left" vertical="center" wrapText="1"/>
    </xf>
    <xf numFmtId="49" fontId="4" fillId="0" borderId="27" xfId="0" applyNumberFormat="1" applyFont="1" applyFill="1" applyBorder="1" applyAlignment="1">
      <alignment horizontal="left" vertical="center" wrapText="1"/>
    </xf>
    <xf numFmtId="3" fontId="4" fillId="0" borderId="23" xfId="0" applyNumberFormat="1" applyFont="1" applyFill="1" applyBorder="1" applyAlignment="1">
      <alignment horizontal="center" vertical="center" wrapText="1"/>
    </xf>
    <xf numFmtId="3" fontId="4" fillId="0" borderId="27" xfId="0" applyNumberFormat="1" applyFont="1" applyFill="1" applyBorder="1" applyAlignment="1">
      <alignment horizontal="center" vertical="center" wrapText="1"/>
    </xf>
    <xf numFmtId="192" fontId="4" fillId="0" borderId="23" xfId="0" applyNumberFormat="1" applyFont="1" applyFill="1" applyBorder="1" applyAlignment="1">
      <alignment horizontal="center" vertical="center" wrapText="1"/>
    </xf>
    <xf numFmtId="192" fontId="4" fillId="0" borderId="27"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NumberFormat="1" applyFont="1" applyFill="1" applyBorder="1" applyAlignment="1">
      <alignment horizontal="center" vertical="center" wrapText="1"/>
    </xf>
    <xf numFmtId="191" fontId="2" fillId="41" borderId="23" xfId="0" applyNumberFormat="1" applyFont="1" applyFill="1" applyBorder="1" applyAlignment="1">
      <alignment horizontal="center" vertical="center" wrapText="1"/>
    </xf>
    <xf numFmtId="191" fontId="2" fillId="41" borderId="27"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191" fontId="4" fillId="41" borderId="23" xfId="0" applyNumberFormat="1" applyFont="1" applyFill="1" applyBorder="1" applyAlignment="1">
      <alignment horizontal="center" vertical="center" wrapText="1"/>
    </xf>
    <xf numFmtId="191" fontId="4" fillId="41" borderId="27" xfId="0" applyNumberFormat="1"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5" fillId="0" borderId="23"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5" fillId="0"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NumberFormat="1" applyFont="1" applyFill="1" applyBorder="1" applyAlignment="1">
      <alignment horizontal="center" vertical="center" wrapText="1" shrinkToFit="1"/>
    </xf>
    <xf numFmtId="0" fontId="5" fillId="0" borderId="27" xfId="0" applyNumberFormat="1" applyFont="1" applyFill="1" applyBorder="1" applyAlignment="1">
      <alignment horizontal="center" vertical="center" wrapText="1" shrinkToFit="1"/>
    </xf>
    <xf numFmtId="0" fontId="5" fillId="0" borderId="23"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191" fontId="4" fillId="0" borderId="25" xfId="0" applyNumberFormat="1" applyFont="1" applyFill="1" applyBorder="1" applyAlignment="1">
      <alignment horizontal="center" vertical="center" wrapText="1"/>
    </xf>
    <xf numFmtId="194" fontId="4" fillId="0" borderId="23" xfId="0" applyNumberFormat="1" applyFont="1" applyFill="1" applyBorder="1" applyAlignment="1">
      <alignment horizontal="center" vertical="center" wrapText="1"/>
    </xf>
    <xf numFmtId="194" fontId="4" fillId="0" borderId="25" xfId="0" applyNumberFormat="1" applyFont="1" applyFill="1" applyBorder="1" applyAlignment="1">
      <alignment horizontal="center" vertical="center" wrapText="1"/>
    </xf>
    <xf numFmtId="194" fontId="4" fillId="0" borderId="27" xfId="0" applyNumberFormat="1"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 fillId="0" borderId="23" xfId="0" applyFont="1" applyFill="1" applyBorder="1" applyAlignment="1">
      <alignment horizontal="left" vertical="center" wrapText="1" shrinkToFit="1"/>
    </xf>
    <xf numFmtId="0" fontId="2" fillId="0" borderId="25" xfId="0" applyFont="1" applyFill="1" applyBorder="1" applyAlignment="1">
      <alignment horizontal="left" vertical="center" wrapText="1" shrinkToFit="1"/>
    </xf>
    <xf numFmtId="0" fontId="2" fillId="0" borderId="27" xfId="0" applyFont="1" applyFill="1" applyBorder="1" applyAlignment="1">
      <alignment horizontal="left" vertical="center" wrapText="1" shrinkToFit="1"/>
    </xf>
    <xf numFmtId="191" fontId="2" fillId="41" borderId="25" xfId="0" applyNumberFormat="1" applyFont="1" applyFill="1" applyBorder="1" applyAlignment="1">
      <alignment horizontal="center" vertical="center" wrapText="1"/>
    </xf>
    <xf numFmtId="191" fontId="2" fillId="0" borderId="23" xfId="0" applyNumberFormat="1" applyFont="1" applyFill="1" applyBorder="1" applyAlignment="1">
      <alignment horizontal="center" vertical="center" wrapText="1"/>
    </xf>
    <xf numFmtId="191" fontId="2" fillId="0" borderId="25" xfId="0" applyNumberFormat="1" applyFont="1" applyFill="1" applyBorder="1" applyAlignment="1">
      <alignment horizontal="center" vertical="center" wrapText="1"/>
    </xf>
    <xf numFmtId="191" fontId="2" fillId="0" borderId="27"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3" fontId="5" fillId="0" borderId="23" xfId="0" applyNumberFormat="1" applyFont="1" applyFill="1" applyBorder="1" applyAlignment="1">
      <alignment horizontal="center" vertical="center" wrapText="1" shrinkToFit="1"/>
    </xf>
    <xf numFmtId="3" fontId="5" fillId="0" borderId="27" xfId="0" applyNumberFormat="1" applyFont="1" applyFill="1" applyBorder="1" applyAlignment="1">
      <alignment horizontal="center" vertical="center" wrapText="1" shrinkToFit="1"/>
    </xf>
    <xf numFmtId="0" fontId="5" fillId="0" borderId="3" xfId="0" applyNumberFormat="1" applyFont="1" applyFill="1" applyBorder="1" applyAlignment="1">
      <alignment horizontal="center" vertical="center" wrapText="1"/>
    </xf>
    <xf numFmtId="49" fontId="5" fillId="0" borderId="23" xfId="0" applyNumberFormat="1" applyFont="1" applyFill="1" applyBorder="1" applyAlignment="1">
      <alignment horizontal="left" vertical="center" wrapText="1"/>
    </xf>
    <xf numFmtId="49" fontId="5" fillId="0" borderId="25" xfId="0" applyNumberFormat="1"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49" fontId="5" fillId="0" borderId="23"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194" fontId="2" fillId="0" borderId="23" xfId="0" applyNumberFormat="1" applyFont="1" applyFill="1" applyBorder="1" applyAlignment="1">
      <alignment horizontal="center" vertical="center" wrapText="1"/>
    </xf>
    <xf numFmtId="194" fontId="2" fillId="0" borderId="25" xfId="0" applyNumberFormat="1" applyFont="1" applyFill="1" applyBorder="1" applyAlignment="1">
      <alignment horizontal="center" vertical="center" wrapText="1"/>
    </xf>
    <xf numFmtId="194" fontId="2" fillId="0" borderId="27"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shrinkToFit="1"/>
    </xf>
    <xf numFmtId="0" fontId="7" fillId="0" borderId="23" xfId="0" applyNumberFormat="1" applyFont="1" applyFill="1" applyBorder="1" applyAlignment="1">
      <alignment horizontal="left" vertical="center" wrapText="1" shrinkToFit="1"/>
    </xf>
    <xf numFmtId="0" fontId="7" fillId="0" borderId="25" xfId="0" applyNumberFormat="1" applyFont="1" applyFill="1" applyBorder="1" applyAlignment="1">
      <alignment horizontal="left" vertical="center" wrapText="1" shrinkToFit="1"/>
    </xf>
    <xf numFmtId="0" fontId="7" fillId="0" borderId="27" xfId="0" applyNumberFormat="1" applyFont="1" applyFill="1" applyBorder="1" applyAlignment="1">
      <alignment horizontal="left" vertical="center" wrapText="1" shrinkToFit="1"/>
    </xf>
    <xf numFmtId="0" fontId="10" fillId="0" borderId="21" xfId="0" applyFont="1" applyFill="1" applyBorder="1" applyAlignment="1">
      <alignment horizontal="right" vertical="center"/>
    </xf>
    <xf numFmtId="0" fontId="4" fillId="0" borderId="21" xfId="0" applyFont="1" applyFill="1" applyBorder="1" applyAlignment="1">
      <alignment horizontal="right" vertical="center"/>
    </xf>
    <xf numFmtId="2" fontId="4" fillId="0" borderId="23" xfId="0" applyNumberFormat="1" applyFont="1" applyFill="1" applyBorder="1" applyAlignment="1">
      <alignment horizontal="center" vertical="center" wrapText="1"/>
    </xf>
    <xf numFmtId="2" fontId="4" fillId="0" borderId="25" xfId="0" applyNumberFormat="1" applyFont="1" applyFill="1" applyBorder="1" applyAlignment="1">
      <alignment horizontal="center" vertical="center" wrapText="1"/>
    </xf>
    <xf numFmtId="2" fontId="4" fillId="0" borderId="27" xfId="0" applyNumberFormat="1" applyFont="1" applyFill="1" applyBorder="1" applyAlignment="1">
      <alignment horizontal="center" vertical="center" wrapText="1"/>
    </xf>
    <xf numFmtId="0" fontId="4" fillId="0" borderId="0" xfId="0" applyFont="1" applyFill="1" applyAlignment="1">
      <alignment horizontal="right" vertical="center"/>
    </xf>
    <xf numFmtId="0" fontId="4" fillId="0" borderId="23" xfId="0" applyNumberFormat="1" applyFont="1" applyFill="1" applyBorder="1" applyAlignment="1">
      <alignment horizontal="center"/>
    </xf>
    <xf numFmtId="0" fontId="4" fillId="0" borderId="27" xfId="0" applyNumberFormat="1" applyFont="1" applyFill="1" applyBorder="1" applyAlignment="1">
      <alignment horizontal="center"/>
    </xf>
    <xf numFmtId="191" fontId="4" fillId="0" borderId="3" xfId="0" applyNumberFormat="1" applyFont="1" applyFill="1" applyBorder="1" applyAlignment="1">
      <alignment horizontal="center" vertical="center" wrapText="1"/>
    </xf>
    <xf numFmtId="3" fontId="4" fillId="0" borderId="3" xfId="0" applyNumberFormat="1" applyFont="1" applyFill="1" applyBorder="1" applyAlignment="1">
      <alignment horizontal="left" vertical="center" wrapText="1"/>
    </xf>
    <xf numFmtId="0" fontId="8" fillId="0" borderId="0" xfId="0" applyFont="1" applyFill="1" applyBorder="1" applyAlignment="1">
      <alignment horizontal="left" vertical="center"/>
    </xf>
    <xf numFmtId="190" fontId="2" fillId="0" borderId="21" xfId="0" applyNumberFormat="1" applyFont="1" applyFill="1" applyBorder="1" applyAlignment="1">
      <alignment horizontal="center" vertical="center"/>
    </xf>
    <xf numFmtId="0" fontId="2" fillId="0" borderId="23" xfId="0" applyFont="1" applyFill="1" applyBorder="1" applyAlignment="1">
      <alignment horizontal="left"/>
    </xf>
    <xf numFmtId="0" fontId="2" fillId="0" borderId="25" xfId="0" applyFont="1" applyFill="1" applyBorder="1" applyAlignment="1">
      <alignment horizontal="left"/>
    </xf>
    <xf numFmtId="0" fontId="2" fillId="0" borderId="27" xfId="0" applyFont="1" applyFill="1" applyBorder="1" applyAlignment="1">
      <alignment horizontal="left"/>
    </xf>
    <xf numFmtId="191" fontId="2" fillId="41" borderId="3"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shrinkToFit="1"/>
    </xf>
    <xf numFmtId="0" fontId="4" fillId="0" borderId="26" xfId="0" applyFont="1" applyFill="1" applyBorder="1" applyAlignment="1">
      <alignment horizontal="center" vertical="center" wrapText="1" shrinkToFit="1"/>
    </xf>
    <xf numFmtId="0" fontId="4" fillId="0" borderId="46" xfId="0" applyFont="1" applyFill="1" applyBorder="1" applyAlignment="1">
      <alignment horizontal="center" vertical="center" wrapText="1" shrinkToFit="1"/>
    </xf>
    <xf numFmtId="2" fontId="4" fillId="0" borderId="22" xfId="0" applyNumberFormat="1" applyFont="1" applyFill="1" applyBorder="1" applyAlignment="1">
      <alignment horizontal="center" vertical="center" wrapText="1"/>
    </xf>
    <xf numFmtId="2" fontId="4" fillId="0" borderId="26" xfId="0" applyNumberFormat="1" applyFont="1" applyFill="1" applyBorder="1" applyAlignment="1">
      <alignment horizontal="center" vertical="center" wrapText="1"/>
    </xf>
    <xf numFmtId="0" fontId="6" fillId="0" borderId="23" xfId="0" applyNumberFormat="1" applyFont="1" applyFill="1" applyBorder="1" applyAlignment="1">
      <alignment horizontal="left" vertical="center" wrapText="1" shrinkToFit="1"/>
    </xf>
    <xf numFmtId="0" fontId="6" fillId="0" borderId="25" xfId="0" applyNumberFormat="1" applyFont="1" applyFill="1" applyBorder="1" applyAlignment="1">
      <alignment horizontal="left" vertical="center" wrapText="1" shrinkToFit="1"/>
    </xf>
    <xf numFmtId="0" fontId="6" fillId="0" borderId="27" xfId="0" applyNumberFormat="1" applyFont="1" applyFill="1" applyBorder="1" applyAlignment="1">
      <alignment horizontal="left" vertical="center" wrapText="1" shrinkToFit="1"/>
    </xf>
    <xf numFmtId="3" fontId="4" fillId="0" borderId="3" xfId="0" applyNumberFormat="1" applyFont="1" applyFill="1" applyBorder="1" applyAlignment="1">
      <alignment horizontal="center" vertical="center" wrapText="1" shrinkToFit="1"/>
    </xf>
    <xf numFmtId="0" fontId="6" fillId="0" borderId="3" xfId="0" applyNumberFormat="1" applyFont="1" applyFill="1" applyBorder="1" applyAlignment="1">
      <alignment horizontal="left" vertical="center" wrapText="1" shrinkToFit="1"/>
    </xf>
    <xf numFmtId="0" fontId="9" fillId="0" borderId="0" xfId="0" applyFont="1" applyFill="1" applyAlignment="1">
      <alignment vertical="center" wrapText="1"/>
    </xf>
    <xf numFmtId="0" fontId="0" fillId="0" borderId="0" xfId="0" applyAlignment="1">
      <alignment vertical="center" wrapText="1"/>
    </xf>
    <xf numFmtId="3" fontId="2" fillId="0" borderId="3" xfId="0" applyNumberFormat="1" applyFont="1" applyFill="1" applyBorder="1" applyAlignment="1">
      <alignment horizontal="left" vertical="center" wrapText="1"/>
    </xf>
    <xf numFmtId="0" fontId="4" fillId="0" borderId="40" xfId="0" applyFont="1" applyFill="1" applyBorder="1" applyAlignment="1">
      <alignment horizontal="center" vertical="center" wrapText="1" shrinkToFit="1"/>
    </xf>
    <xf numFmtId="0" fontId="4" fillId="0" borderId="41" xfId="0" applyFont="1" applyFill="1" applyBorder="1" applyAlignment="1">
      <alignment horizontal="center" vertical="center" wrapText="1" shrinkToFit="1"/>
    </xf>
    <xf numFmtId="0" fontId="4" fillId="0" borderId="42" xfId="0" applyFont="1" applyFill="1" applyBorder="1" applyAlignment="1">
      <alignment horizontal="center" vertical="center" wrapText="1" shrinkToFit="1"/>
    </xf>
    <xf numFmtId="0" fontId="4" fillId="0" borderId="43" xfId="0" applyFont="1" applyFill="1" applyBorder="1" applyAlignment="1">
      <alignment horizontal="center" vertical="center" wrapText="1" shrinkToFit="1"/>
    </xf>
    <xf numFmtId="0" fontId="4" fillId="0" borderId="24"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4" xfId="0" applyFont="1" applyFill="1" applyBorder="1" applyAlignment="1">
      <alignment horizontal="center" vertical="center" wrapText="1" shrinkToFit="1"/>
    </xf>
    <xf numFmtId="0" fontId="4" fillId="0" borderId="44"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45"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cellXfs>
  <cellStyles count="401">
    <cellStyle name="Normal" xfId="0"/>
    <cellStyle name="_Fakt_2" xfId="15"/>
    <cellStyle name="_rozhufrovka 2009" xfId="16"/>
    <cellStyle name="_АТиСТ 5а МТР липень 2008" xfId="17"/>
    <cellStyle name="_ПРГК сводний_" xfId="18"/>
    <cellStyle name="_УТГ" xfId="19"/>
    <cellStyle name="_Феодосия 5а МТР липень 2008" xfId="20"/>
    <cellStyle name="_ХТГ довідка." xfId="21"/>
    <cellStyle name="_Шебелинка 5а МТР липень 2008" xfId="22"/>
    <cellStyle name="20% - Accent1" xfId="23"/>
    <cellStyle name="20% - Accent2" xfId="24"/>
    <cellStyle name="20% - Accent3" xfId="25"/>
    <cellStyle name="20% - Accent4" xfId="26"/>
    <cellStyle name="20% - Accent5" xfId="27"/>
    <cellStyle name="20% - Accent6" xfId="28"/>
    <cellStyle name="20% - Акцент1" xfId="29"/>
    <cellStyle name="20% - Акцент1 2" xfId="30"/>
    <cellStyle name="20% - Акцент1 3" xfId="31"/>
    <cellStyle name="20% - Акцент2" xfId="32"/>
    <cellStyle name="20% - Акцент2 2" xfId="33"/>
    <cellStyle name="20% - Акцент2 3" xfId="34"/>
    <cellStyle name="20% - Акцент3" xfId="35"/>
    <cellStyle name="20% - Акцент3 2" xfId="36"/>
    <cellStyle name="20% - Акцент3 3" xfId="37"/>
    <cellStyle name="20% - Акцент4" xfId="38"/>
    <cellStyle name="20% - Акцент4 2" xfId="39"/>
    <cellStyle name="20% - Акцент4 3" xfId="40"/>
    <cellStyle name="20% - Акцент5" xfId="41"/>
    <cellStyle name="20% - Акцент5 2" xfId="42"/>
    <cellStyle name="20% - Акцент5 3" xfId="43"/>
    <cellStyle name="20% - Акцент6" xfId="44"/>
    <cellStyle name="20% - Акцент6 2" xfId="45"/>
    <cellStyle name="20% - Акцент6 3" xfId="46"/>
    <cellStyle name="40% - Accent1" xfId="47"/>
    <cellStyle name="40% - Accent2" xfId="48"/>
    <cellStyle name="40% - Accent3" xfId="49"/>
    <cellStyle name="40% - Accent4" xfId="50"/>
    <cellStyle name="40% - Accent5" xfId="51"/>
    <cellStyle name="40% - Accent6" xfId="52"/>
    <cellStyle name="40% - Акцент1" xfId="53"/>
    <cellStyle name="40% - Акцент1 2" xfId="54"/>
    <cellStyle name="40% - Акцент1 3" xfId="55"/>
    <cellStyle name="40% - Акцент2" xfId="56"/>
    <cellStyle name="40% - Акцент2 2" xfId="57"/>
    <cellStyle name="40% - Акцент2 3" xfId="58"/>
    <cellStyle name="40% - Акцент3" xfId="59"/>
    <cellStyle name="40% - Акцент3 2" xfId="60"/>
    <cellStyle name="40% - Акцент3 3" xfId="61"/>
    <cellStyle name="40% - Акцент4" xfId="62"/>
    <cellStyle name="40% - Акцент4 2" xfId="63"/>
    <cellStyle name="40% - Акцент4 3" xfId="64"/>
    <cellStyle name="40% - Акцент5" xfId="65"/>
    <cellStyle name="40% - Акцент5 2" xfId="66"/>
    <cellStyle name="40% - Акцент5 3" xfId="67"/>
    <cellStyle name="40% - Акцент6" xfId="68"/>
    <cellStyle name="40% - Акцент6 2" xfId="69"/>
    <cellStyle name="40% - Акцент6 3" xfId="70"/>
    <cellStyle name="60% - Accent1" xfId="71"/>
    <cellStyle name="60% - Accent2" xfId="72"/>
    <cellStyle name="60% - Accent3" xfId="73"/>
    <cellStyle name="60% - Accent4" xfId="74"/>
    <cellStyle name="60% - Accent5" xfId="75"/>
    <cellStyle name="60% - Accent6" xfId="76"/>
    <cellStyle name="60% - Акцент1" xfId="77"/>
    <cellStyle name="60% - Акцент1 2" xfId="78"/>
    <cellStyle name="60% - Акцент1 3" xfId="79"/>
    <cellStyle name="60% - Акцент2" xfId="80"/>
    <cellStyle name="60% - Акцент2 2" xfId="81"/>
    <cellStyle name="60% - Акцент2 3" xfId="82"/>
    <cellStyle name="60% - Акцент3" xfId="83"/>
    <cellStyle name="60% - Акцент3 2" xfId="84"/>
    <cellStyle name="60% - Акцент3 3" xfId="85"/>
    <cellStyle name="60% - Акцент4" xfId="86"/>
    <cellStyle name="60% - Акцент4 2" xfId="87"/>
    <cellStyle name="60% - Акцент4 3" xfId="88"/>
    <cellStyle name="60% - Акцент5" xfId="89"/>
    <cellStyle name="60% - Акцент5 2" xfId="90"/>
    <cellStyle name="60% - Акцент5 3" xfId="91"/>
    <cellStyle name="60% - Акцент6" xfId="92"/>
    <cellStyle name="60% - Акцент6 2" xfId="93"/>
    <cellStyle name="60% - Акцент6 3" xfId="94"/>
    <cellStyle name="Accent1" xfId="95"/>
    <cellStyle name="Accent2" xfId="96"/>
    <cellStyle name="Accent3" xfId="97"/>
    <cellStyle name="Accent4" xfId="98"/>
    <cellStyle name="Accent5" xfId="99"/>
    <cellStyle name="Accent6" xfId="100"/>
    <cellStyle name="Bad" xfId="101"/>
    <cellStyle name="Calculation" xfId="102"/>
    <cellStyle name="Check Cell" xfId="103"/>
    <cellStyle name="Column-Header" xfId="104"/>
    <cellStyle name="Column-Header 2" xfId="105"/>
    <cellStyle name="Column-Header 3" xfId="106"/>
    <cellStyle name="Column-Header 4" xfId="107"/>
    <cellStyle name="Column-Header 5" xfId="108"/>
    <cellStyle name="Column-Header 6" xfId="109"/>
    <cellStyle name="Column-Header 7" xfId="110"/>
    <cellStyle name="Column-Header 7 2" xfId="111"/>
    <cellStyle name="Column-Header 8" xfId="112"/>
    <cellStyle name="Column-Header 8 2" xfId="113"/>
    <cellStyle name="Column-Header 9" xfId="114"/>
    <cellStyle name="Column-Header 9 2" xfId="115"/>
    <cellStyle name="Column-Header_Zvit rux-koshtiv 2010 Департамент " xfId="116"/>
    <cellStyle name="Comma_2005_03_15-Финансовый_БГ" xfId="117"/>
    <cellStyle name="Define-Column" xfId="118"/>
    <cellStyle name="Define-Column 10" xfId="119"/>
    <cellStyle name="Define-Column 2" xfId="120"/>
    <cellStyle name="Define-Column 3" xfId="121"/>
    <cellStyle name="Define-Column 4" xfId="122"/>
    <cellStyle name="Define-Column 5" xfId="123"/>
    <cellStyle name="Define-Column 6" xfId="124"/>
    <cellStyle name="Define-Column 7" xfId="125"/>
    <cellStyle name="Define-Column 7 2" xfId="126"/>
    <cellStyle name="Define-Column 7 3" xfId="127"/>
    <cellStyle name="Define-Column 8" xfId="128"/>
    <cellStyle name="Define-Column 8 2" xfId="129"/>
    <cellStyle name="Define-Column 8 3" xfId="130"/>
    <cellStyle name="Define-Column 9" xfId="131"/>
    <cellStyle name="Define-Column 9 2" xfId="132"/>
    <cellStyle name="Define-Column 9 3" xfId="133"/>
    <cellStyle name="Define-Column_Zvit rux-koshtiv 2010 Департамент " xfId="134"/>
    <cellStyle name="Explanatory Text" xfId="135"/>
    <cellStyle name="FS10" xfId="136"/>
    <cellStyle name="Good" xfId="137"/>
    <cellStyle name="Heading 1" xfId="138"/>
    <cellStyle name="Heading 2" xfId="139"/>
    <cellStyle name="Heading 3" xfId="140"/>
    <cellStyle name="Heading 4" xfId="141"/>
    <cellStyle name="Hyperlink 2" xfId="142"/>
    <cellStyle name="Input" xfId="143"/>
    <cellStyle name="Level0" xfId="144"/>
    <cellStyle name="Level0 10" xfId="145"/>
    <cellStyle name="Level0 2" xfId="146"/>
    <cellStyle name="Level0 2 2" xfId="147"/>
    <cellStyle name="Level0 3" xfId="148"/>
    <cellStyle name="Level0 3 2" xfId="149"/>
    <cellStyle name="Level0 4" xfId="150"/>
    <cellStyle name="Level0 4 2" xfId="151"/>
    <cellStyle name="Level0 5" xfId="152"/>
    <cellStyle name="Level0 6" xfId="153"/>
    <cellStyle name="Level0 7" xfId="154"/>
    <cellStyle name="Level0 7 2" xfId="155"/>
    <cellStyle name="Level0 7 3" xfId="156"/>
    <cellStyle name="Level0 8" xfId="157"/>
    <cellStyle name="Level0 8 2" xfId="158"/>
    <cellStyle name="Level0 8 3" xfId="159"/>
    <cellStyle name="Level0 9" xfId="160"/>
    <cellStyle name="Level0 9 2" xfId="161"/>
    <cellStyle name="Level0 9 3" xfId="162"/>
    <cellStyle name="Level0_Zvit rux-koshtiv 2010 Департамент " xfId="163"/>
    <cellStyle name="Level1" xfId="164"/>
    <cellStyle name="Level1 2" xfId="165"/>
    <cellStyle name="Level1-Numbers" xfId="166"/>
    <cellStyle name="Level1-Numbers 2" xfId="167"/>
    <cellStyle name="Level1-Numbers-Hide" xfId="168"/>
    <cellStyle name="Level2" xfId="169"/>
    <cellStyle name="Level2 2" xfId="170"/>
    <cellStyle name="Level2-Hide" xfId="171"/>
    <cellStyle name="Level2-Hide 2" xfId="172"/>
    <cellStyle name="Level2-Numbers" xfId="173"/>
    <cellStyle name="Level2-Numbers 2" xfId="174"/>
    <cellStyle name="Level2-Numbers-Hide" xfId="175"/>
    <cellStyle name="Level3" xfId="176"/>
    <cellStyle name="Level3 2" xfId="177"/>
    <cellStyle name="Level3 3" xfId="178"/>
    <cellStyle name="Level3_План департамент_2010_1207" xfId="179"/>
    <cellStyle name="Level3-Hide" xfId="180"/>
    <cellStyle name="Level3-Hide 2" xfId="181"/>
    <cellStyle name="Level3-Numbers" xfId="182"/>
    <cellStyle name="Level3-Numbers 2" xfId="183"/>
    <cellStyle name="Level3-Numbers 3" xfId="184"/>
    <cellStyle name="Level3-Numbers_План департамент_2010_1207" xfId="185"/>
    <cellStyle name="Level3-Numbers-Hide" xfId="186"/>
    <cellStyle name="Level4" xfId="187"/>
    <cellStyle name="Level4 2" xfId="188"/>
    <cellStyle name="Level4-Hide" xfId="189"/>
    <cellStyle name="Level4-Hide 2" xfId="190"/>
    <cellStyle name="Level4-Numbers" xfId="191"/>
    <cellStyle name="Level4-Numbers 2" xfId="192"/>
    <cellStyle name="Level4-Numbers-Hide" xfId="193"/>
    <cellStyle name="Level5" xfId="194"/>
    <cellStyle name="Level5 2" xfId="195"/>
    <cellStyle name="Level5-Hide" xfId="196"/>
    <cellStyle name="Level5-Hide 2" xfId="197"/>
    <cellStyle name="Level5-Numbers" xfId="198"/>
    <cellStyle name="Level5-Numbers 2" xfId="199"/>
    <cellStyle name="Level5-Numbers-Hide" xfId="200"/>
    <cellStyle name="Level6" xfId="201"/>
    <cellStyle name="Level6 2" xfId="202"/>
    <cellStyle name="Level6-Hide" xfId="203"/>
    <cellStyle name="Level6-Hide 2" xfId="204"/>
    <cellStyle name="Level6-Numbers" xfId="205"/>
    <cellStyle name="Level6-Numbers 2" xfId="206"/>
    <cellStyle name="Level7" xfId="207"/>
    <cellStyle name="Level7-Hide" xfId="208"/>
    <cellStyle name="Level7-Numbers" xfId="209"/>
    <cellStyle name="Linked Cell" xfId="210"/>
    <cellStyle name="Neutral" xfId="211"/>
    <cellStyle name="Normal 2" xfId="212"/>
    <cellStyle name="Normal_2005_03_15-Финансовый_БГ" xfId="213"/>
    <cellStyle name="Normal_GSE DCF_Model_31_07_09 final" xfId="214"/>
    <cellStyle name="Note" xfId="215"/>
    <cellStyle name="Number-Cells" xfId="216"/>
    <cellStyle name="Number-Cells-Column2" xfId="217"/>
    <cellStyle name="Number-Cells-Column5" xfId="218"/>
    <cellStyle name="Output" xfId="219"/>
    <cellStyle name="Row-Header" xfId="220"/>
    <cellStyle name="Row-Header 2" xfId="221"/>
    <cellStyle name="Title" xfId="222"/>
    <cellStyle name="Total" xfId="223"/>
    <cellStyle name="Warning Text" xfId="224"/>
    <cellStyle name="Акцент1" xfId="225"/>
    <cellStyle name="Акцент1 2" xfId="226"/>
    <cellStyle name="Акцент1 3" xfId="227"/>
    <cellStyle name="Акцент2" xfId="228"/>
    <cellStyle name="Акцент2 2" xfId="229"/>
    <cellStyle name="Акцент2 3" xfId="230"/>
    <cellStyle name="Акцент3" xfId="231"/>
    <cellStyle name="Акцент3 2" xfId="232"/>
    <cellStyle name="Акцент3 3" xfId="233"/>
    <cellStyle name="Акцент4" xfId="234"/>
    <cellStyle name="Акцент4 2" xfId="235"/>
    <cellStyle name="Акцент4 3" xfId="236"/>
    <cellStyle name="Акцент5" xfId="237"/>
    <cellStyle name="Акцент5 2" xfId="238"/>
    <cellStyle name="Акцент5 3" xfId="239"/>
    <cellStyle name="Акцент6" xfId="240"/>
    <cellStyle name="Акцент6 2" xfId="241"/>
    <cellStyle name="Акцент6 3" xfId="242"/>
    <cellStyle name="Ввод " xfId="243"/>
    <cellStyle name="Ввод  2" xfId="244"/>
    <cellStyle name="Ввод  3" xfId="245"/>
    <cellStyle name="Вывод" xfId="246"/>
    <cellStyle name="Вывод 2" xfId="247"/>
    <cellStyle name="Вывод 3" xfId="248"/>
    <cellStyle name="Вычисление" xfId="249"/>
    <cellStyle name="Вычисление 2" xfId="250"/>
    <cellStyle name="Вычисление 3" xfId="251"/>
    <cellStyle name="Hyperlink" xfId="252"/>
    <cellStyle name="Currency" xfId="253"/>
    <cellStyle name="Currency [0]" xfId="254"/>
    <cellStyle name="Денежный 2" xfId="255"/>
    <cellStyle name="Заголовок 1" xfId="256"/>
    <cellStyle name="Заголовок 1 2" xfId="257"/>
    <cellStyle name="Заголовок 1 3" xfId="258"/>
    <cellStyle name="Заголовок 2" xfId="259"/>
    <cellStyle name="Заголовок 2 2" xfId="260"/>
    <cellStyle name="Заголовок 2 3" xfId="261"/>
    <cellStyle name="Заголовок 3" xfId="262"/>
    <cellStyle name="Заголовок 3 2" xfId="263"/>
    <cellStyle name="Заголовок 3 3" xfId="264"/>
    <cellStyle name="Заголовок 4" xfId="265"/>
    <cellStyle name="Заголовок 4 2" xfId="266"/>
    <cellStyle name="Заголовок 4 3" xfId="267"/>
    <cellStyle name="Итог" xfId="268"/>
    <cellStyle name="Итог 2" xfId="269"/>
    <cellStyle name="Итог 3" xfId="270"/>
    <cellStyle name="Контрольная ячейка" xfId="271"/>
    <cellStyle name="Контрольная ячейка 2" xfId="272"/>
    <cellStyle name="Контрольная ячейка 3" xfId="273"/>
    <cellStyle name="Название" xfId="274"/>
    <cellStyle name="Название 2" xfId="275"/>
    <cellStyle name="Название 3" xfId="276"/>
    <cellStyle name="Нейтральный" xfId="277"/>
    <cellStyle name="Нейтральный 2" xfId="278"/>
    <cellStyle name="Нейтральный 3" xfId="279"/>
    <cellStyle name="Обычный 10" xfId="280"/>
    <cellStyle name="Обычный 11" xfId="281"/>
    <cellStyle name="Обычный 12" xfId="282"/>
    <cellStyle name="Обычный 13" xfId="283"/>
    <cellStyle name="Обычный 14" xfId="284"/>
    <cellStyle name="Обычный 15" xfId="285"/>
    <cellStyle name="Обычный 16" xfId="286"/>
    <cellStyle name="Обычный 17" xfId="287"/>
    <cellStyle name="Обычный 18" xfId="288"/>
    <cellStyle name="Обычный 2" xfId="289"/>
    <cellStyle name="Обычный 2 10" xfId="290"/>
    <cellStyle name="Обычный 2 11" xfId="291"/>
    <cellStyle name="Обычный 2 12" xfId="292"/>
    <cellStyle name="Обычный 2 13" xfId="293"/>
    <cellStyle name="Обычный 2 14" xfId="294"/>
    <cellStyle name="Обычный 2 15" xfId="295"/>
    <cellStyle name="Обычный 2 16" xfId="296"/>
    <cellStyle name="Обычный 2 2" xfId="297"/>
    <cellStyle name="Обычный 2 2 2" xfId="298"/>
    <cellStyle name="Обычный 2 2 3" xfId="299"/>
    <cellStyle name="Обычный 2 2_Расшифровка прочих" xfId="300"/>
    <cellStyle name="Обычный 2 3" xfId="301"/>
    <cellStyle name="Обычный 2 4" xfId="302"/>
    <cellStyle name="Обычный 2 5" xfId="303"/>
    <cellStyle name="Обычный 2 6" xfId="304"/>
    <cellStyle name="Обычный 2 7" xfId="305"/>
    <cellStyle name="Обычный 2 8" xfId="306"/>
    <cellStyle name="Обычный 2 9" xfId="307"/>
    <cellStyle name="Обычный 2_2604-2010" xfId="308"/>
    <cellStyle name="Обычный 3" xfId="309"/>
    <cellStyle name="Обычный 3 10" xfId="310"/>
    <cellStyle name="Обычный 3 11" xfId="311"/>
    <cellStyle name="Обычный 3 12" xfId="312"/>
    <cellStyle name="Обычный 3 13" xfId="313"/>
    <cellStyle name="Обычный 3 14" xfId="314"/>
    <cellStyle name="Обычный 3 2" xfId="315"/>
    <cellStyle name="Обычный 3 3" xfId="316"/>
    <cellStyle name="Обычный 3 4" xfId="317"/>
    <cellStyle name="Обычный 3 5" xfId="318"/>
    <cellStyle name="Обычный 3 6" xfId="319"/>
    <cellStyle name="Обычный 3 7" xfId="320"/>
    <cellStyle name="Обычный 3 8" xfId="321"/>
    <cellStyle name="Обычный 3 9" xfId="322"/>
    <cellStyle name="Обычный 3_Дефицит_7 млрд_0608_бс" xfId="323"/>
    <cellStyle name="Обычный 4" xfId="324"/>
    <cellStyle name="Обычный 5" xfId="325"/>
    <cellStyle name="Обычный 5 2" xfId="326"/>
    <cellStyle name="Обычный 6" xfId="327"/>
    <cellStyle name="Обычный 6 2" xfId="328"/>
    <cellStyle name="Обычный 6 3" xfId="329"/>
    <cellStyle name="Обычный 6 4" xfId="330"/>
    <cellStyle name="Обычный 6_Дефицит_7 млрд_0608_бс" xfId="331"/>
    <cellStyle name="Обычный 7" xfId="332"/>
    <cellStyle name="Обычный 7 2" xfId="333"/>
    <cellStyle name="Обычный 8" xfId="334"/>
    <cellStyle name="Обычный 9" xfId="335"/>
    <cellStyle name="Обычный 9 2" xfId="336"/>
    <cellStyle name="Followed Hyperlink" xfId="337"/>
    <cellStyle name="Плохой" xfId="338"/>
    <cellStyle name="Плохой 2" xfId="339"/>
    <cellStyle name="Плохой 3" xfId="340"/>
    <cellStyle name="Пояснение" xfId="341"/>
    <cellStyle name="Пояснение 2" xfId="342"/>
    <cellStyle name="Пояснение 3" xfId="343"/>
    <cellStyle name="Примечание" xfId="344"/>
    <cellStyle name="Примечание 2" xfId="345"/>
    <cellStyle name="Примечание 3" xfId="346"/>
    <cellStyle name="Percent" xfId="347"/>
    <cellStyle name="Процентный 2" xfId="348"/>
    <cellStyle name="Процентный 2 10" xfId="349"/>
    <cellStyle name="Процентный 2 11" xfId="350"/>
    <cellStyle name="Процентный 2 12" xfId="351"/>
    <cellStyle name="Процентный 2 13" xfId="352"/>
    <cellStyle name="Процентный 2 14" xfId="353"/>
    <cellStyle name="Процентный 2 15" xfId="354"/>
    <cellStyle name="Процентный 2 16" xfId="355"/>
    <cellStyle name="Процентный 2 2" xfId="356"/>
    <cellStyle name="Процентный 2 3" xfId="357"/>
    <cellStyle name="Процентный 2 4" xfId="358"/>
    <cellStyle name="Процентный 2 5" xfId="359"/>
    <cellStyle name="Процентный 2 6" xfId="360"/>
    <cellStyle name="Процентный 2 7" xfId="361"/>
    <cellStyle name="Процентный 2 8" xfId="362"/>
    <cellStyle name="Процентный 2 9" xfId="363"/>
    <cellStyle name="Процентный 3" xfId="364"/>
    <cellStyle name="Процентный 4" xfId="365"/>
    <cellStyle name="Процентный 4 2" xfId="366"/>
    <cellStyle name="Связанная ячейка" xfId="367"/>
    <cellStyle name="Связанная ячейка 2" xfId="368"/>
    <cellStyle name="Связанная ячейка 3" xfId="369"/>
    <cellStyle name="Стиль 1" xfId="370"/>
    <cellStyle name="Стиль 1 2" xfId="371"/>
    <cellStyle name="Стиль 1 3" xfId="372"/>
    <cellStyle name="Стиль 1 4" xfId="373"/>
    <cellStyle name="Стиль 1 5" xfId="374"/>
    <cellStyle name="Стиль 1 6" xfId="375"/>
    <cellStyle name="Стиль 1 7" xfId="376"/>
    <cellStyle name="Текст предупреждения" xfId="377"/>
    <cellStyle name="Текст предупреждения 2" xfId="378"/>
    <cellStyle name="Текст предупреждения 3" xfId="379"/>
    <cellStyle name="Тысячи [0]_1.62" xfId="380"/>
    <cellStyle name="Тысячи_1.62" xfId="381"/>
    <cellStyle name="Comma" xfId="382"/>
    <cellStyle name="Comma [0]" xfId="383"/>
    <cellStyle name="Финансовый 2" xfId="384"/>
    <cellStyle name="Финансовый 2 10" xfId="385"/>
    <cellStyle name="Финансовый 2 11" xfId="386"/>
    <cellStyle name="Финансовый 2 12" xfId="387"/>
    <cellStyle name="Финансовый 2 13" xfId="388"/>
    <cellStyle name="Финансовый 2 14" xfId="389"/>
    <cellStyle name="Финансовый 2 15" xfId="390"/>
    <cellStyle name="Финансовый 2 16" xfId="391"/>
    <cellStyle name="Финансовый 2 17" xfId="392"/>
    <cellStyle name="Финансовый 2 2" xfId="393"/>
    <cellStyle name="Финансовый 2 3" xfId="394"/>
    <cellStyle name="Финансовый 2 4" xfId="395"/>
    <cellStyle name="Финансовый 2 5" xfId="396"/>
    <cellStyle name="Финансовый 2 6" xfId="397"/>
    <cellStyle name="Финансовый 2 7" xfId="398"/>
    <cellStyle name="Финансовый 2 8" xfId="399"/>
    <cellStyle name="Финансовый 2 9" xfId="400"/>
    <cellStyle name="Финансовый 3" xfId="401"/>
    <cellStyle name="Финансовый 3 2" xfId="402"/>
    <cellStyle name="Финансовый 4" xfId="403"/>
    <cellStyle name="Финансовый 4 2" xfId="404"/>
    <cellStyle name="Финансовый 4 3" xfId="405"/>
    <cellStyle name="Финансовый 5" xfId="406"/>
    <cellStyle name="Финансовый 6" xfId="407"/>
    <cellStyle name="Финансовый 7" xfId="408"/>
    <cellStyle name="Хороший" xfId="409"/>
    <cellStyle name="Хороший 2" xfId="410"/>
    <cellStyle name="Хороший 3" xfId="411"/>
    <cellStyle name="числовой" xfId="412"/>
    <cellStyle name="Ю" xfId="413"/>
    <cellStyle name="Ю-FreeSet_10" xfId="4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externalLink" Target="externalLinks/externalLink19.xml" /><Relationship Id="rId30" Type="http://schemas.openxmlformats.org/officeDocument/2006/relationships/externalLink" Target="externalLinks/externalLink20.xml" /><Relationship Id="rId31" Type="http://schemas.openxmlformats.org/officeDocument/2006/relationships/externalLink" Target="externalLinks/externalLink21.xml" /><Relationship Id="rId32" Type="http://schemas.openxmlformats.org/officeDocument/2006/relationships/externalLink" Target="externalLinks/externalLink22.xml" /><Relationship Id="rId33" Type="http://schemas.openxmlformats.org/officeDocument/2006/relationships/externalLink" Target="externalLinks/externalLink23.xml" /><Relationship Id="rId34" Type="http://schemas.openxmlformats.org/officeDocument/2006/relationships/externalLink" Target="externalLinks/externalLink24.xml" /><Relationship Id="rId35" Type="http://schemas.openxmlformats.org/officeDocument/2006/relationships/externalLink" Target="externalLinks/externalLink25.xml" /><Relationship Id="rId36" Type="http://schemas.openxmlformats.org/officeDocument/2006/relationships/externalLink" Target="externalLinks/externalLink26.xml" /><Relationship Id="rId37" Type="http://schemas.openxmlformats.org/officeDocument/2006/relationships/externalLink" Target="externalLinks/externalLink27.xml" /><Relationship Id="rId38" Type="http://schemas.openxmlformats.org/officeDocument/2006/relationships/externalLink" Target="externalLinks/externalLink28.xml" /><Relationship Id="rId39" Type="http://schemas.openxmlformats.org/officeDocument/2006/relationships/externalLink" Target="externalLinks/externalLink29.xml" /><Relationship Id="rId40" Type="http://schemas.openxmlformats.org/officeDocument/2006/relationships/externalLink" Target="externalLinks/externalLink30.xml" /><Relationship Id="rId41" Type="http://schemas.openxmlformats.org/officeDocument/2006/relationships/externalLink" Target="externalLinks/externalLink31.xml" /><Relationship Id="rId42" Type="http://schemas.openxmlformats.org/officeDocument/2006/relationships/externalLink" Target="externalLinks/externalLink32.xml" /><Relationship Id="rId43" Type="http://schemas.openxmlformats.org/officeDocument/2006/relationships/externalLink" Target="externalLinks/externalLink33.xml" /><Relationship Id="rId44" Type="http://schemas.openxmlformats.org/officeDocument/2006/relationships/externalLink" Target="externalLinks/externalLink34.xml" /><Relationship Id="rId45" Type="http://schemas.openxmlformats.org/officeDocument/2006/relationships/externalLink" Target="externalLinks/externalLink35.xml" /><Relationship Id="rId4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ttp:\\www.bank.gov.ua\WORK\S2\VICTOR\&#1042;&#1042;&#1055;\PIB.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ttp:\\www.bank.gov.ua\&#1052;&#1086;&#1080;%20&#1076;&#1086;&#1082;&#1091;&#1084;&#1077;&#1085;&#1090;&#1099;\Sergey\&#1055;&#1088;&#1086;&#1075;&#1085;&#1086;&#1079;\&#1056;&#1072;&#1073;&#1086;&#1095;&#1080;&#1077;%20&#1090;&#1072;&#1073;&#1083;&#1080;&#1094;&#1099;\new\zvedena1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72rc2j\vera\DOCUME~1\Chirich\LOCALS~1\Temp\Rar$DI00.938\Dept\Plan\Exchange\!_Plan-2006\&#1042;&#1040;&#1058;%20&#1048;&#1074;&#1072;&#1085;&#1086;%20&#1092;&#1088;&#1072;&#1085;&#1082;&#1080;&#1074;&#1089;&#1100;&#1082;&#1075;&#1072;&#1079;\Dodatok1%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72rc2j\vera\&#1052;&#1086;&#1080;%20&#1076;&#1086;&#1082;&#1091;&#1084;&#1077;&#1085;&#1090;&#1099;\Plan-2006_kons_rabota\Dept\Plan\Exchange\_________________________Plan_ZP\!_&#1055;&#1077;&#1095;&#1072;&#1090;&#1100;\&#1052;&#1058;&#1056;%20&#1074;&#1089;&#1077;%20-%20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72rc2j\vera\Dept\Plan\Exchange\!_Plan-2006\&#1042;&#1040;&#1058;%20&#1048;&#1074;&#1072;&#1085;&#1086;%20&#1092;&#1088;&#1072;&#1085;&#1082;&#1080;&#1074;&#1089;&#1100;&#1082;&#1075;&#1072;&#1079;\Dodatok1%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Ariadna\Sum_pok.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Nechiporenko\2007&#1053;&#1054;&#1042;\DOCUME~1\Chirich\LOCALS~1\Temp\Dept\Plan\Exchange\_________________________Plan_ZP\!_&#1055;&#1077;&#1095;&#1072;&#1090;&#1100;\&#1052;&#1058;&#1056;%20&#1074;&#1089;&#1077;%20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R:\&#1052;&#1086;&#1080;%20&#1076;&#1086;&#1082;&#1091;&#1084;&#1077;&#1085;&#1090;&#1099;\Plan-2006_kons_rabota\Dept\Plan\Exchange\_________________________Plan_ZP\!_&#1055;&#1077;&#1095;&#1072;&#1090;&#1100;\&#1052;&#1058;&#1056;%20&#1074;&#1089;&#1077;%20-%20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R:\Dept\Plan\Exchange\!_Plan-2006\&#1042;&#1040;&#1058;%20&#1048;&#1074;&#1072;&#1085;&#1086;%20&#1092;&#1088;&#1072;&#1085;&#1082;&#1080;&#1074;&#1089;&#1100;&#1082;&#1075;&#1072;&#1079;\Dodatok1%2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R:\DOCUME~1\Chirich\LOCALS~1\Temp\Dept\Plan\Exchange\_________________________Plan_ZP\!_&#1055;&#1077;&#1095;&#1072;&#1090;&#1100;\&#1052;&#1058;&#1056;%20&#1074;&#1089;&#1077;%20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R:\Dept\Plan\Exchange\!_Plan-2006\VAT%20Sevastop\Dept\Plan\Exchange\_________________________Plan_ZP\!_&#1055;&#1077;&#1095;&#1072;&#1090;&#1100;\&#1052;&#1058;&#1056;%20&#1074;&#1089;&#1077;%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ttp:\\www.bank.gov.ua\New_monitoring\Monit_xls\M_2002\M_06_02\Monthly\10_October\1Aug2001\GDP\realgdp\LENA\BGVN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R:\Dept\Plan\Exchange\_________________________Plan_ZP\!_&#1055;&#1077;&#1095;&#1072;&#1090;&#1100;\&#1052;&#1058;&#1056;%20&#1074;&#1089;&#1077;%202.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Kredo\work\Dept\Plan\Exchange\_________________________Plan_ZP\!_&#1055;&#1077;&#1095;&#1072;&#1090;&#1100;\&#1052;&#1058;&#1056;%20&#1074;&#1089;&#1077;%20-%205.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72rc2j\vera\Dept\Plan\Exchange\!_Plan-2006\VAT%20Sevastop\Dept\Plan\Exchange\_________________________Plan_ZP\!_&#1055;&#1077;&#1095;&#1072;&#1090;&#1100;\&#1052;&#1058;&#1056;%20&#1074;&#1089;&#1077;%202.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72rc2j\vera\DOCUME~1\Chirich\LOCALS~1\Temp\DOCUME~1\VOYTOV~1\LOCALS~1\Temp\Rar$DI00.867\Planning%20System%20Project\consolidation%20hq%20formatted.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72rc2j\vera\DOCUME~1\Chirich\LOCALS~1\Temp\Dept\Plan\Exchange\_________________________Plan_ZP\!_&#1055;&#1077;&#1095;&#1072;&#1090;&#1100;\&#1052;&#1058;&#1056;%20&#1074;&#1089;&#1077;%20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72rc2j\vera\Documents%20and%20Settings\SUDNIKOVA\Local%20Settings\Temporary%20Internet%20Files\Content.IE5\C5MFSXEF\Subv2006\Rich%20Roz%202006.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ain\main1\DOCUME~1\Chirich\LOCALS~1\Temp\Dept\Plan\Exchange\_________________________Plan_ZP\!_&#1055;&#1077;&#1095;&#1072;&#1090;&#1100;\&#1052;&#1058;&#1056;%20&#1074;&#1089;&#1077;%202.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72rc2j\vera\Documents%20and%20Settings\andreyevskaya\&#1052;&#1086;&#1080;%20&#1076;&#1086;&#1082;&#1091;&#1084;&#1077;&#1085;&#1090;&#1099;\OLGA\&#1056;&#1045;&#1040;&#1051;&#1048;&#1047;&#1040;&#1062;&#1048;&#1071;_2006\2006_REALIZ_&#1058;&#1045;(&#1090;&#1088;&#1072;&#1074;&#1077;&#1085;&#110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http:\\www.bank.gov.ua\S_N_A\1July2001\GDP\realgdp\LENA\BGVN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R:\DOCUME~1\Chirich\LOCALS~1\Temp\Rar$DI00.938\Dept\Plan\Exchange\!_Plan-2006\&#1042;&#1040;&#1058;%20&#1048;&#1074;&#1072;&#1085;&#1086;%20&#1092;&#1088;&#1072;&#1085;&#1082;&#1080;&#1074;&#1089;&#1100;&#1082;&#1075;&#1072;&#1079;\Dodatok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File1\aaaa\2007%20finplan\DOCUME~1\SINKEV~1\LOCALS~1\Temp\Rar$DI00.781\Dept\Plan\Exchange\_________________________Plan_ZP\!_&#1055;&#1077;&#1095;&#1072;&#1090;&#1100;\&#1052;&#1058;&#1056;%20&#1074;&#1089;&#1077;%20-%20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D72rc2j\vera\&#1052;&#1086;&#1080;%20&#1076;&#1086;&#1082;&#1091;&#1084;&#1077;&#1085;&#1090;&#1099;\Plan-2006_kons_rabota\Dept\FinPlan-Economy\Planning%20System%20Project\consolidation%20hq%20formatted.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R:\DOCUME~1\SINKEV~1\LOCALS~1\Temp\Rar$DI00.781\Dept\FinPlan-Economy\Planning%20System%20Project\consolidation%20hq%20formatted.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Nechiporenko\2007&#1053;&#1054;&#1042;\DOCUME~1\Chirich\LOCALS~1\Temp\DOCUME~1\VOYTOV~1\LOCALS~1\Temp\Rar$DI00.867\Planning%20System%20Project\consolidation%20hq%20formatted.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S:\Dept\FinPlan-Economy\Planning%20System%20Project\consolidation%20hq%20formatted.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ain\MAIN1\Dept\FinPlan-Economy\Planning%20System%20Project\consolidation%20hq%20formatted.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D72rc2j\vera\Documents%20and%20Settings\likhachov\Local%20Settings\Temporary%20Internet%20Files\Content.IE5\RY4RBH0P\2006_REALIZ_&#1058;&#1045;(&#1083;&#1102;&#1090;&#1080;&#1081;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Plan\Exchange\_________________________Plan_ZP\!_&#1055;&#1077;&#1095;&#1072;&#1090;&#1100;\&#1052;&#1058;&#1056;%20&#1074;&#1089;&#1077;%20-%2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FinPlan-Economy\Planning%20System%20Project\consolidation%20hq%20formatt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R:\&#1052;&#1086;&#1080;%20&#1076;&#1086;&#1082;&#1091;&#1084;&#1077;&#1085;&#1090;&#1099;\Plan-2006_kons_rabota\Dept\FinPlan-Economy\Planning%20System%20Project\consolidation%20hq%20formatt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Kredo\work\Dept\FinPlan-Economy\Planning%20System%20Project\consolidation%20hq%20formatted.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R:\DOCUME~1\Chirich\LOCALS~1\Temp\DOCUME~1\VOYTOV~1\LOCALS~1\Temp\Rar$DI00.867\Planning%20System%20Project\consolidation%20hq%20formatted.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echiporenko\2007&#1053;&#1054;&#1042;\Dept\Plan\Exchange\!_Plan-2006\VAT%20Sevastop\Dept\Plan\Exchange\_________________________Plan_ZP\!_&#1055;&#1077;&#1095;&#1072;&#1090;&#1100;\&#1052;&#1058;&#1056;%20&#1074;&#1089;&#1077;%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sheetName val="Real GDP &amp; Real IP (u)"/>
      <sheetName val="Real GDP &amp; Real IP (e)"/>
      <sheetName val="GDP_gr"/>
      <sheetName val="Светлые"/>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зведена таб"/>
      <sheetName val="попер_роз"/>
      <sheetName val="попер_роз (4)"/>
      <sheetName val="звед_оптим (2)"/>
      <sheetName val="звед_баз(3)_СА"/>
      <sheetName val="звед_опт(3)_ca"/>
      <sheetName val="звед_баз(4)"/>
      <sheetName val="звед_опт(4)"/>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Лист1"/>
      <sheetName val="Ini"/>
      <sheetName val="Ëčńň1"/>
      <sheetName val="Sum_pok"/>
      <sheetName val="#REF!"/>
      <sheetName val="Sum_pok.xls"/>
    </sheetNames>
    <definedNames>
      <definedName name="ShowFil"/>
    </defined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99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form"/>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otac"/>
      <sheetName val="DodDot"/>
      <sheetName val="Dod ARK"/>
      <sheetName val="Dod Clavutich"/>
      <sheetName val="Svod 3511060"/>
      <sheetName val="Viluch(1-12)"/>
      <sheetName val="Diti "/>
      <sheetName val="TvPalGaz"/>
      <sheetName val="Ener "/>
      <sheetName val="IncsiPilgi (2)"/>
      <sheetName val="GirZakon"/>
      <sheetName val="Govti Vodi"/>
      <sheetName val="Chor Flot"/>
      <sheetName val="Afganci"/>
      <sheetName val="Shidka Dop"/>
      <sheetName val="Likarna"/>
      <sheetName val="Zoiot Pidkova"/>
      <sheetName val="Granti"/>
      <sheetName val="Granti1"/>
      <sheetName val="Vibori"/>
      <sheetName val="Metro"/>
      <sheetName val="Oper Teatr"/>
      <sheetName val="Makeevka"/>
      <sheetName val="Ctix Lixo IvFrank"/>
      <sheetName val="Groshi xodat za dit"/>
      <sheetName val="Ctix Lixo Zakarp"/>
      <sheetName val="Coc GKG Inv"/>
      <sheetName val="Tuzla"/>
      <sheetName val="Zmiinii"/>
      <sheetName val="Ctandarti"/>
      <sheetName val="CocEkon"/>
      <sheetName val="Ictor Zabudova"/>
      <sheetName val="Ict Zab"/>
      <sheetName val="Ukr Kultura"/>
      <sheetName val="Minoboroni"/>
      <sheetName val="Mic Arcenal"/>
      <sheetName val="Inekcini"/>
      <sheetName val="In"/>
      <sheetName val="diti ciroti -2(minmolod)"/>
      <sheetName val="Korek ocvita"/>
      <sheetName val="Tex Dic Ocvita"/>
      <sheetName val="Troleib"/>
      <sheetName val="Utoc.Zaoshadg"/>
      <sheetName val="Metro Cpec Fond"/>
      <sheetName val="Svitov Bank"/>
      <sheetName val="Shidka Dop Cp Fond"/>
      <sheetName val="Gazoprovodi"/>
      <sheetName val="Troleib Cpec Fond"/>
      <sheetName val="Zaporiggya"/>
      <sheetName val="Kremenchuk"/>
      <sheetName val="Pereviz ditey"/>
      <sheetName val="Kom dorigu"/>
      <sheetName val="Chor Fiot Cpec Fond"/>
      <sheetName val="Zaosch"/>
      <sheetName val="kryvRig"/>
      <sheetName val="OSVITA"/>
      <sheetName val="Tar"/>
      <sheetName val="Nar.instr"/>
      <sheetName val="DDot"/>
      <sheetName val="Dsub"/>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БАЗА  "/>
      <sheetName val="ВАТ"/>
      <sheetName val="ВАТ_фил"/>
      <sheetName val="383,40ч"/>
      <sheetName val="383,40т"/>
      <sheetName val="686,00"/>
      <sheetName val="област"/>
      <sheetName val="Сторно"/>
      <sheetName val="Пряма_труба"/>
      <sheetName val="БАЗА   (2)"/>
      <sheetName val="БАЗА   (3)"/>
      <sheetName val="БАЗА   (5)"/>
      <sheetName val="БАЗА   (4)"/>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1993"/>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Inform"/>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1)423+424"/>
      <sheetName val="Chart_of_accs"/>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реестр заявок"/>
      <sheetName val="ЗКЛ"/>
      <sheetName val="реестр_заявок"/>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БАЗА  "/>
      <sheetName val="ВАТ"/>
      <sheetName val="ВАТ_фил"/>
      <sheetName val="210"/>
      <sheetName val="241,5"/>
      <sheetName val="област"/>
      <sheetName val="Сторно"/>
      <sheetName val="Пряма_труба"/>
      <sheetName val="БАЗА   (2)"/>
      <sheetName val="БАЗА   (3)"/>
      <sheetName val="БАЗА   (4)"/>
      <sheetName val="БАЗА   (5)"/>
      <sheetName val="БАЗА   (6)"/>
      <sheetName val="БАЗА   (7)"/>
      <sheetName val="БАЗА   (8)"/>
      <sheetName val="БАЗА   (9)"/>
      <sheetName val="БАЗА   (10)"/>
      <sheetName val="БАЗА   (12)"/>
      <sheetName val="БАЗА   (11)"/>
      <sheetName val="БАЗА   (13)"/>
      <sheetName val="БАЗА   (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3"/>
  </sheetPr>
  <dimension ref="A1:L492"/>
  <sheetViews>
    <sheetView tabSelected="1" view="pageBreakPreview" zoomScale="80" zoomScaleNormal="70" zoomScaleSheetLayoutView="80" zoomScalePageLayoutView="0" workbookViewId="0" topLeftCell="B41">
      <selection activeCell="D111" sqref="D111"/>
    </sheetView>
  </sheetViews>
  <sheetFormatPr defaultColWidth="9.00390625" defaultRowHeight="12.75"/>
  <cols>
    <col min="1" max="1" width="100.875" style="57" customWidth="1"/>
    <col min="2" max="2" width="15.375" style="16" customWidth="1"/>
    <col min="3" max="3" width="27.75390625" style="16" customWidth="1"/>
    <col min="4" max="4" width="28.75390625" style="16" customWidth="1"/>
    <col min="5" max="5" width="28.625" style="16" customWidth="1"/>
    <col min="6" max="6" width="26.75390625" style="16" customWidth="1"/>
    <col min="7" max="7" width="29.375" style="16" customWidth="1"/>
    <col min="8" max="8" width="21.75390625" style="16" customWidth="1"/>
    <col min="9" max="9" width="10.00390625" style="57" customWidth="1"/>
    <col min="10" max="10" width="9.625" style="57" customWidth="1"/>
    <col min="11" max="11" width="9.125" style="57" bestFit="1" customWidth="1"/>
    <col min="12" max="16384" width="9.125" style="57" customWidth="1"/>
  </cols>
  <sheetData>
    <row r="1" spans="2:12" ht="18.75" customHeight="1">
      <c r="B1" s="71"/>
      <c r="C1" s="71"/>
      <c r="D1" s="71"/>
      <c r="E1" s="57"/>
      <c r="F1" s="318" t="s">
        <v>0</v>
      </c>
      <c r="G1" s="318"/>
      <c r="H1" s="318"/>
      <c r="I1" s="230"/>
      <c r="J1" s="230"/>
      <c r="K1" s="230"/>
      <c r="L1" s="230"/>
    </row>
    <row r="2" spans="1:12" ht="18.75" customHeight="1">
      <c r="A2" s="197"/>
      <c r="E2" s="57"/>
      <c r="F2" s="318" t="s">
        <v>1</v>
      </c>
      <c r="G2" s="318"/>
      <c r="H2" s="318"/>
      <c r="I2" s="230"/>
      <c r="J2" s="230"/>
      <c r="K2" s="230"/>
      <c r="L2" s="230"/>
    </row>
    <row r="3" spans="1:12" ht="18.75" customHeight="1">
      <c r="A3" s="16"/>
      <c r="E3" s="101"/>
      <c r="F3" s="318" t="s">
        <v>2</v>
      </c>
      <c r="G3" s="318"/>
      <c r="H3" s="318"/>
      <c r="I3" s="230"/>
      <c r="J3" s="230"/>
      <c r="K3" s="230"/>
      <c r="L3" s="230"/>
    </row>
    <row r="4" spans="1:12" ht="18.75" customHeight="1">
      <c r="A4" s="16"/>
      <c r="E4" s="101"/>
      <c r="F4" s="318" t="s">
        <v>3</v>
      </c>
      <c r="G4" s="318"/>
      <c r="H4" s="318"/>
      <c r="I4" s="230"/>
      <c r="J4" s="230"/>
      <c r="K4" s="230"/>
      <c r="L4" s="230"/>
    </row>
    <row r="5" spans="1:12" ht="18.75" customHeight="1">
      <c r="A5" s="16"/>
      <c r="E5" s="101"/>
      <c r="F5" s="198" t="s">
        <v>4</v>
      </c>
      <c r="G5" s="101"/>
      <c r="H5" s="101"/>
      <c r="I5" s="230"/>
      <c r="J5" s="230"/>
      <c r="K5" s="230"/>
      <c r="L5" s="230"/>
    </row>
    <row r="6" spans="1:8" ht="19.5" customHeight="1">
      <c r="A6" s="199"/>
      <c r="B6" s="319"/>
      <c r="C6" s="319"/>
      <c r="D6" s="319"/>
      <c r="E6" s="319"/>
      <c r="F6" s="200"/>
      <c r="G6" s="201" t="s">
        <v>518</v>
      </c>
      <c r="H6" s="22" t="s">
        <v>5</v>
      </c>
    </row>
    <row r="7" spans="1:8" ht="49.5" customHeight="1">
      <c r="A7" s="202" t="s">
        <v>6</v>
      </c>
      <c r="B7" s="320" t="s">
        <v>7</v>
      </c>
      <c r="C7" s="320"/>
      <c r="D7" s="320"/>
      <c r="E7" s="320"/>
      <c r="F7" s="321"/>
      <c r="G7" s="203" t="s">
        <v>8</v>
      </c>
      <c r="H7" s="22">
        <v>42662070</v>
      </c>
    </row>
    <row r="8" spans="1:8" ht="19.5" customHeight="1">
      <c r="A8" s="199" t="s">
        <v>9</v>
      </c>
      <c r="B8" s="319" t="s">
        <v>10</v>
      </c>
      <c r="C8" s="319"/>
      <c r="D8" s="319"/>
      <c r="E8" s="319"/>
      <c r="F8" s="200"/>
      <c r="G8" s="203" t="s">
        <v>11</v>
      </c>
      <c r="H8" s="22">
        <v>150</v>
      </c>
    </row>
    <row r="9" spans="1:8" ht="19.5" customHeight="1">
      <c r="A9" s="199" t="s">
        <v>12</v>
      </c>
      <c r="B9" s="319" t="s">
        <v>13</v>
      </c>
      <c r="C9" s="319"/>
      <c r="D9" s="319"/>
      <c r="E9" s="319"/>
      <c r="F9" s="200"/>
      <c r="G9" s="203" t="s">
        <v>14</v>
      </c>
      <c r="H9" s="22">
        <v>5610700000</v>
      </c>
    </row>
    <row r="10" spans="1:8" ht="19.5" customHeight="1">
      <c r="A10" s="202" t="s">
        <v>15</v>
      </c>
      <c r="B10" s="319"/>
      <c r="C10" s="319"/>
      <c r="D10" s="319"/>
      <c r="E10" s="319"/>
      <c r="F10" s="204"/>
      <c r="G10" s="203" t="s">
        <v>16</v>
      </c>
      <c r="H10" s="22"/>
    </row>
    <row r="11" spans="1:8" ht="19.5" customHeight="1">
      <c r="A11" s="202" t="s">
        <v>17</v>
      </c>
      <c r="B11" s="319" t="s">
        <v>18</v>
      </c>
      <c r="C11" s="319"/>
      <c r="D11" s="319"/>
      <c r="E11" s="319"/>
      <c r="F11" s="205"/>
      <c r="G11" s="203" t="s">
        <v>19</v>
      </c>
      <c r="H11" s="22"/>
    </row>
    <row r="12" spans="1:8" ht="19.5" customHeight="1">
      <c r="A12" s="202" t="s">
        <v>20</v>
      </c>
      <c r="B12" s="319" t="s">
        <v>21</v>
      </c>
      <c r="C12" s="319"/>
      <c r="D12" s="319"/>
      <c r="E12" s="319"/>
      <c r="F12" s="205"/>
      <c r="G12" s="203" t="s">
        <v>22</v>
      </c>
      <c r="H12" s="22">
        <v>86.21</v>
      </c>
    </row>
    <row r="13" spans="1:8" ht="19.5" customHeight="1">
      <c r="A13" s="202" t="s">
        <v>23</v>
      </c>
      <c r="B13" s="319"/>
      <c r="C13" s="319"/>
      <c r="D13" s="319"/>
      <c r="E13" s="319"/>
      <c r="F13" s="319" t="s">
        <v>24</v>
      </c>
      <c r="G13" s="322"/>
      <c r="H13" s="206"/>
    </row>
    <row r="14" spans="1:8" ht="19.5" customHeight="1">
      <c r="A14" s="202" t="s">
        <v>25</v>
      </c>
      <c r="B14" s="319" t="s">
        <v>26</v>
      </c>
      <c r="C14" s="319"/>
      <c r="D14" s="319"/>
      <c r="E14" s="319"/>
      <c r="F14" s="319" t="s">
        <v>27</v>
      </c>
      <c r="G14" s="323"/>
      <c r="H14" s="206"/>
    </row>
    <row r="15" spans="1:8" ht="19.5" customHeight="1">
      <c r="A15" s="202" t="s">
        <v>28</v>
      </c>
      <c r="B15" s="319">
        <v>74</v>
      </c>
      <c r="C15" s="319"/>
      <c r="D15" s="319"/>
      <c r="E15" s="319"/>
      <c r="F15" s="205"/>
      <c r="G15" s="205"/>
      <c r="H15" s="205"/>
    </row>
    <row r="16" spans="1:8" ht="19.5" customHeight="1">
      <c r="A16" s="199" t="s">
        <v>29</v>
      </c>
      <c r="B16" s="319" t="s">
        <v>30</v>
      </c>
      <c r="C16" s="319"/>
      <c r="D16" s="319"/>
      <c r="E16" s="319"/>
      <c r="F16" s="319"/>
      <c r="G16" s="207"/>
      <c r="H16" s="207"/>
    </row>
    <row r="17" spans="1:8" ht="19.5" customHeight="1">
      <c r="A17" s="202" t="s">
        <v>31</v>
      </c>
      <c r="B17" s="319" t="s">
        <v>32</v>
      </c>
      <c r="C17" s="319"/>
      <c r="D17" s="319"/>
      <c r="E17" s="319"/>
      <c r="F17" s="319"/>
      <c r="G17" s="205"/>
      <c r="H17" s="205"/>
    </row>
    <row r="18" spans="1:8" ht="19.5" customHeight="1">
      <c r="A18" s="199" t="s">
        <v>33</v>
      </c>
      <c r="B18" s="319" t="s">
        <v>34</v>
      </c>
      <c r="C18" s="319"/>
      <c r="D18" s="319"/>
      <c r="E18" s="319"/>
      <c r="F18" s="319"/>
      <c r="G18" s="207"/>
      <c r="H18" s="207"/>
    </row>
    <row r="19" spans="1:8" ht="9.75" customHeight="1">
      <c r="A19" s="101"/>
      <c r="B19" s="57"/>
      <c r="C19" s="57"/>
      <c r="D19" s="57"/>
      <c r="E19" s="57"/>
      <c r="F19" s="57"/>
      <c r="G19" s="57"/>
      <c r="H19" s="57"/>
    </row>
    <row r="20" spans="1:8" ht="19.5" customHeight="1">
      <c r="A20" s="324" t="s">
        <v>35</v>
      </c>
      <c r="B20" s="324"/>
      <c r="C20" s="324"/>
      <c r="D20" s="324"/>
      <c r="E20" s="324"/>
      <c r="F20" s="324"/>
      <c r="G20" s="324"/>
      <c r="H20" s="324"/>
    </row>
    <row r="21" spans="1:8" ht="18.75">
      <c r="A21" s="324" t="s">
        <v>36</v>
      </c>
      <c r="B21" s="324"/>
      <c r="C21" s="324"/>
      <c r="D21" s="324"/>
      <c r="E21" s="324"/>
      <c r="F21" s="324"/>
      <c r="G21" s="324"/>
      <c r="H21" s="324"/>
    </row>
    <row r="22" spans="1:8" ht="25.5">
      <c r="A22" s="325" t="s">
        <v>519</v>
      </c>
      <c r="B22" s="325"/>
      <c r="C22" s="325"/>
      <c r="D22" s="325"/>
      <c r="E22" s="325"/>
      <c r="F22" s="325"/>
      <c r="G22" s="325"/>
      <c r="H22" s="325"/>
    </row>
    <row r="23" spans="1:8" ht="9" customHeight="1">
      <c r="A23" s="73"/>
      <c r="B23" s="73"/>
      <c r="C23" s="73"/>
      <c r="D23" s="73"/>
      <c r="E23" s="73"/>
      <c r="F23" s="73"/>
      <c r="G23" s="73"/>
      <c r="H23" s="73"/>
    </row>
    <row r="24" spans="1:8" ht="18.75">
      <c r="A24" s="324" t="s">
        <v>37</v>
      </c>
      <c r="B24" s="324"/>
      <c r="C24" s="324"/>
      <c r="D24" s="324"/>
      <c r="E24" s="324"/>
      <c r="F24" s="324"/>
      <c r="G24" s="324"/>
      <c r="H24" s="324"/>
    </row>
    <row r="25" spans="2:8" ht="12" customHeight="1">
      <c r="B25" s="159"/>
      <c r="C25" s="159"/>
      <c r="D25" s="159"/>
      <c r="E25" s="159"/>
      <c r="F25" s="159"/>
      <c r="G25" s="159"/>
      <c r="H25" s="159"/>
    </row>
    <row r="26" spans="1:8" ht="33" customHeight="1">
      <c r="A26" s="345" t="s">
        <v>38</v>
      </c>
      <c r="B26" s="326" t="s">
        <v>39</v>
      </c>
      <c r="C26" s="326" t="s">
        <v>40</v>
      </c>
      <c r="D26" s="326"/>
      <c r="E26" s="327" t="s">
        <v>41</v>
      </c>
      <c r="F26" s="327"/>
      <c r="G26" s="327"/>
      <c r="H26" s="327"/>
    </row>
    <row r="27" spans="1:8" ht="24.75" customHeight="1">
      <c r="A27" s="345"/>
      <c r="B27" s="326"/>
      <c r="C27" s="13" t="s">
        <v>42</v>
      </c>
      <c r="D27" s="13" t="s">
        <v>43</v>
      </c>
      <c r="E27" s="104" t="s">
        <v>44</v>
      </c>
      <c r="F27" s="104" t="s">
        <v>45</v>
      </c>
      <c r="G27" s="104" t="s">
        <v>46</v>
      </c>
      <c r="H27" s="104" t="s">
        <v>47</v>
      </c>
    </row>
    <row r="28" spans="1:8" ht="18.75">
      <c r="A28" s="22">
        <v>1</v>
      </c>
      <c r="B28" s="13">
        <v>2</v>
      </c>
      <c r="C28" s="22">
        <v>3</v>
      </c>
      <c r="D28" s="13">
        <v>4</v>
      </c>
      <c r="E28" s="22">
        <v>5</v>
      </c>
      <c r="F28" s="13">
        <v>6</v>
      </c>
      <c r="G28" s="22">
        <v>7</v>
      </c>
      <c r="H28" s="13">
        <v>8</v>
      </c>
    </row>
    <row r="29" spans="1:8" s="59" customFormat="1" ht="18.75">
      <c r="A29" s="328" t="s">
        <v>48</v>
      </c>
      <c r="B29" s="329"/>
      <c r="C29" s="329"/>
      <c r="D29" s="329"/>
      <c r="E29" s="329"/>
      <c r="F29" s="329"/>
      <c r="G29" s="329"/>
      <c r="H29" s="330"/>
    </row>
    <row r="30" spans="1:8" s="59" customFormat="1" ht="24.75" customHeight="1">
      <c r="A30" s="208" t="s">
        <v>49</v>
      </c>
      <c r="B30" s="209">
        <v>1000</v>
      </c>
      <c r="C30" s="210">
        <f>'I. Фін результат'!C7</f>
        <v>10930.9</v>
      </c>
      <c r="D30" s="210">
        <f>'I. Фін результат'!D7</f>
        <v>12018.400000000001</v>
      </c>
      <c r="E30" s="210">
        <f>'I. Фін результат'!E7</f>
        <v>6350</v>
      </c>
      <c r="F30" s="210">
        <f>'I. Фін результат'!F7</f>
        <v>6153.3</v>
      </c>
      <c r="G30" s="211">
        <f>F30-E30</f>
        <v>-196.69999999999982</v>
      </c>
      <c r="H30" s="212">
        <f>(F30/E30)*100</f>
        <v>96.90236220472441</v>
      </c>
    </row>
    <row r="31" spans="1:8" s="59" customFormat="1" ht="24.75" customHeight="1">
      <c r="A31" s="213" t="s">
        <v>50</v>
      </c>
      <c r="B31" s="214">
        <v>1010</v>
      </c>
      <c r="C31" s="210">
        <f>'I. Фін результат'!C8</f>
        <v>-7900.4</v>
      </c>
      <c r="D31" s="210">
        <f>'I. Фін результат'!D8</f>
        <v>-11120.9</v>
      </c>
      <c r="E31" s="210">
        <f>'I. Фін результат'!E8</f>
        <v>-5300</v>
      </c>
      <c r="F31" s="210">
        <f>'I. Фін результат'!F8</f>
        <v>-6617.8</v>
      </c>
      <c r="G31" s="215">
        <f>F31-E31</f>
        <v>-1317.8000000000002</v>
      </c>
      <c r="H31" s="212">
        <f aca="true" t="shared" si="0" ref="H31:H76">(F31/E31)*100</f>
        <v>124.86415094339623</v>
      </c>
    </row>
    <row r="32" spans="1:8" s="59" customFormat="1" ht="24.75" customHeight="1">
      <c r="A32" s="216" t="s">
        <v>51</v>
      </c>
      <c r="B32" s="214">
        <v>1020</v>
      </c>
      <c r="C32" s="217">
        <f>SUM(C30:C31)</f>
        <v>3030.5</v>
      </c>
      <c r="D32" s="217">
        <f>SUM(D30:D31)</f>
        <v>897.5000000000018</v>
      </c>
      <c r="E32" s="217">
        <f>SUM(E30:E31)</f>
        <v>1050</v>
      </c>
      <c r="F32" s="217">
        <f>SUM(F30:F31)</f>
        <v>-464.5</v>
      </c>
      <c r="G32" s="218">
        <f aca="true" t="shared" si="1" ref="G32:G76">F32-E32</f>
        <v>-1514.5</v>
      </c>
      <c r="H32" s="219">
        <f t="shared" si="0"/>
        <v>-44.23809523809524</v>
      </c>
    </row>
    <row r="33" spans="1:8" s="59" customFormat="1" ht="24.75" customHeight="1">
      <c r="A33" s="213" t="s">
        <v>52</v>
      </c>
      <c r="B33" s="220">
        <v>1030</v>
      </c>
      <c r="C33" s="210">
        <f>'I. Фін результат'!C21</f>
        <v>-1166.5</v>
      </c>
      <c r="D33" s="210">
        <f>'I. Фін результат'!D21</f>
        <v>-2104.5</v>
      </c>
      <c r="E33" s="210">
        <f>'I. Фін результат'!E21</f>
        <v>-1105</v>
      </c>
      <c r="F33" s="210">
        <f>'I. Фін результат'!F21</f>
        <v>-1130.5000000000002</v>
      </c>
      <c r="G33" s="215">
        <f t="shared" si="1"/>
        <v>-25.500000000000227</v>
      </c>
      <c r="H33" s="212">
        <f t="shared" si="0"/>
        <v>102.30769230769232</v>
      </c>
    </row>
    <row r="34" spans="1:8" s="59" customFormat="1" ht="24.75" customHeight="1">
      <c r="A34" s="61" t="s">
        <v>53</v>
      </c>
      <c r="B34" s="220">
        <v>1031</v>
      </c>
      <c r="C34" s="210" t="str">
        <f>'I. Фін результат'!C22</f>
        <v>(    )</v>
      </c>
      <c r="D34" s="210" t="str">
        <f>'I. Фін результат'!D22</f>
        <v>(    )</v>
      </c>
      <c r="E34" s="210" t="str">
        <f>'I. Фін результат'!E22</f>
        <v>(    )</v>
      </c>
      <c r="F34" s="210" t="str">
        <f>'I. Фін результат'!F22</f>
        <v>(    )</v>
      </c>
      <c r="G34" s="221" t="e">
        <f t="shared" si="1"/>
        <v>#VALUE!</v>
      </c>
      <c r="H34" s="212" t="e">
        <f t="shared" si="0"/>
        <v>#VALUE!</v>
      </c>
    </row>
    <row r="35" spans="1:8" s="59" customFormat="1" ht="24.75" customHeight="1">
      <c r="A35" s="61" t="s">
        <v>54</v>
      </c>
      <c r="B35" s="220">
        <v>1032</v>
      </c>
      <c r="C35" s="210" t="str">
        <f>'I. Фін результат'!C23</f>
        <v>(    )</v>
      </c>
      <c r="D35" s="210" t="str">
        <f>'I. Фін результат'!D23</f>
        <v>(    )</v>
      </c>
      <c r="E35" s="210" t="str">
        <f>'I. Фін результат'!E23</f>
        <v>(    )</v>
      </c>
      <c r="F35" s="210" t="str">
        <f>'I. Фін результат'!F23</f>
        <v>(    )</v>
      </c>
      <c r="G35" s="221" t="e">
        <f t="shared" si="1"/>
        <v>#VALUE!</v>
      </c>
      <c r="H35" s="212" t="e">
        <f t="shared" si="0"/>
        <v>#VALUE!</v>
      </c>
    </row>
    <row r="36" spans="1:8" s="59" customFormat="1" ht="24.75" customHeight="1">
      <c r="A36" s="61" t="s">
        <v>55</v>
      </c>
      <c r="B36" s="220">
        <v>1033</v>
      </c>
      <c r="C36" s="210" t="str">
        <f>'I. Фін результат'!C24</f>
        <v>(    )</v>
      </c>
      <c r="D36" s="210" t="str">
        <f>'I. Фін результат'!D24</f>
        <v>(    )</v>
      </c>
      <c r="E36" s="210" t="str">
        <f>'I. Фін результат'!E24</f>
        <v>(    )</v>
      </c>
      <c r="F36" s="210" t="str">
        <f>'I. Фін результат'!F24</f>
        <v>(    )</v>
      </c>
      <c r="G36" s="221" t="e">
        <f t="shared" si="1"/>
        <v>#VALUE!</v>
      </c>
      <c r="H36" s="212" t="e">
        <f t="shared" si="0"/>
        <v>#VALUE!</v>
      </c>
    </row>
    <row r="37" spans="1:8" s="59" customFormat="1" ht="24.75" customHeight="1">
      <c r="A37" s="61" t="s">
        <v>56</v>
      </c>
      <c r="B37" s="220">
        <v>1034</v>
      </c>
      <c r="C37" s="210" t="str">
        <f>'I. Фін результат'!C25</f>
        <v>(    )</v>
      </c>
      <c r="D37" s="210" t="str">
        <f>'I. Фін результат'!D25</f>
        <v>(    )</v>
      </c>
      <c r="E37" s="210" t="str">
        <f>'I. Фін результат'!E25</f>
        <v>(    )</v>
      </c>
      <c r="F37" s="210" t="str">
        <f>'I. Фін результат'!F25</f>
        <v>(    )</v>
      </c>
      <c r="G37" s="221" t="e">
        <f t="shared" si="1"/>
        <v>#VALUE!</v>
      </c>
      <c r="H37" s="212" t="e">
        <f t="shared" si="0"/>
        <v>#VALUE!</v>
      </c>
    </row>
    <row r="38" spans="1:8" s="59" customFormat="1" ht="24.75" customHeight="1">
      <c r="A38" s="61" t="s">
        <v>57</v>
      </c>
      <c r="B38" s="220">
        <v>1035</v>
      </c>
      <c r="C38" s="210" t="str">
        <f>'I. Фін результат'!C26</f>
        <v>(    )</v>
      </c>
      <c r="D38" s="210" t="str">
        <f>'I. Фін результат'!D26</f>
        <v>(    )</v>
      </c>
      <c r="E38" s="210">
        <f>'I. Фін результат'!E26</f>
        <v>0</v>
      </c>
      <c r="F38" s="210" t="str">
        <f>'I. Фін результат'!F26</f>
        <v>(    )</v>
      </c>
      <c r="G38" s="221" t="e">
        <f t="shared" si="1"/>
        <v>#VALUE!</v>
      </c>
      <c r="H38" s="212" t="e">
        <f t="shared" si="0"/>
        <v>#VALUE!</v>
      </c>
    </row>
    <row r="39" spans="1:8" s="59" customFormat="1" ht="24.75" customHeight="1">
      <c r="A39" s="213" t="s">
        <v>58</v>
      </c>
      <c r="B39" s="214">
        <v>1060</v>
      </c>
      <c r="C39" s="210">
        <f>'I. Фін результат'!C47</f>
        <v>0</v>
      </c>
      <c r="D39" s="210">
        <f>'I. Фін результат'!D47</f>
        <v>0</v>
      </c>
      <c r="E39" s="210">
        <f>'I. Фін результат'!E47</f>
        <v>0</v>
      </c>
      <c r="F39" s="210">
        <f>'I. Фін результат'!F47</f>
        <v>0</v>
      </c>
      <c r="G39" s="221">
        <f t="shared" si="1"/>
        <v>0</v>
      </c>
      <c r="H39" s="212" t="e">
        <f t="shared" si="0"/>
        <v>#DIV/0!</v>
      </c>
    </row>
    <row r="40" spans="1:8" s="59" customFormat="1" ht="24.75" customHeight="1">
      <c r="A40" s="61" t="s">
        <v>59</v>
      </c>
      <c r="B40" s="220">
        <v>1070</v>
      </c>
      <c r="C40" s="210">
        <f>'I. Фін результат'!C55</f>
        <v>1625.4</v>
      </c>
      <c r="D40" s="210">
        <f>'I. Фін результат'!D55</f>
        <v>5094.700000000001</v>
      </c>
      <c r="E40" s="210">
        <f>'I. Фін результат'!E55</f>
        <v>230</v>
      </c>
      <c r="F40" s="210">
        <f>'I. Фін результат'!F55</f>
        <v>3547.8</v>
      </c>
      <c r="G40" s="215">
        <f t="shared" si="1"/>
        <v>3317.8</v>
      </c>
      <c r="H40" s="212">
        <f t="shared" si="0"/>
        <v>1542.521739130435</v>
      </c>
    </row>
    <row r="41" spans="1:8" s="59" customFormat="1" ht="24.75" customHeight="1">
      <c r="A41" s="61" t="s">
        <v>60</v>
      </c>
      <c r="B41" s="220">
        <v>1071</v>
      </c>
      <c r="C41" s="210">
        <f>'I. Фін результат'!C56</f>
        <v>0</v>
      </c>
      <c r="D41" s="210">
        <f>'I. Фін результат'!D56</f>
        <v>0</v>
      </c>
      <c r="E41" s="210">
        <f>'I. Фін результат'!E56</f>
        <v>0</v>
      </c>
      <c r="F41" s="210">
        <f>'I. Фін результат'!F56</f>
        <v>0</v>
      </c>
      <c r="G41" s="221">
        <f t="shared" si="1"/>
        <v>0</v>
      </c>
      <c r="H41" s="212" t="e">
        <f t="shared" si="0"/>
        <v>#DIV/0!</v>
      </c>
    </row>
    <row r="42" spans="1:8" s="59" customFormat="1" ht="24.75" customHeight="1">
      <c r="A42" s="61" t="s">
        <v>61</v>
      </c>
      <c r="B42" s="220">
        <v>1072</v>
      </c>
      <c r="C42" s="210">
        <f>'I. Фін результат'!C57</f>
        <v>0</v>
      </c>
      <c r="D42" s="210">
        <f>'I. Фін результат'!D57</f>
        <v>0</v>
      </c>
      <c r="E42" s="210">
        <f>'I. Фін результат'!E57</f>
        <v>0</v>
      </c>
      <c r="F42" s="210">
        <f>'I. Фін результат'!F57</f>
        <v>0</v>
      </c>
      <c r="G42" s="221">
        <f t="shared" si="1"/>
        <v>0</v>
      </c>
      <c r="H42" s="212" t="e">
        <f t="shared" si="0"/>
        <v>#DIV/0!</v>
      </c>
    </row>
    <row r="43" spans="1:8" s="59" customFormat="1" ht="24.75" customHeight="1">
      <c r="A43" s="222" t="s">
        <v>62</v>
      </c>
      <c r="B43" s="220">
        <v>1080</v>
      </c>
      <c r="C43" s="210">
        <f>'I. Фін результат'!C63</f>
        <v>-1202.1</v>
      </c>
      <c r="D43" s="210">
        <f>'I. Фін результат'!D63</f>
        <v>-4324.7</v>
      </c>
      <c r="E43" s="210">
        <f>'I. Фін результат'!E63</f>
        <v>-175</v>
      </c>
      <c r="F43" s="210">
        <f>'I. Фін результат'!F63</f>
        <v>-3461.7</v>
      </c>
      <c r="G43" s="215">
        <f t="shared" si="1"/>
        <v>-3286.7</v>
      </c>
      <c r="H43" s="212">
        <f t="shared" si="0"/>
        <v>1978.1142857142856</v>
      </c>
    </row>
    <row r="44" spans="1:8" s="59" customFormat="1" ht="24.75" customHeight="1">
      <c r="A44" s="61" t="s">
        <v>60</v>
      </c>
      <c r="B44" s="220">
        <v>1081</v>
      </c>
      <c r="C44" s="210" t="str">
        <f>'I. Фін результат'!C64</f>
        <v>(    )</v>
      </c>
      <c r="D44" s="210" t="str">
        <f>'I. Фін результат'!D64</f>
        <v>(    )</v>
      </c>
      <c r="E44" s="210" t="str">
        <f>'I. Фін результат'!E64</f>
        <v>(    )</v>
      </c>
      <c r="F44" s="210" t="str">
        <f>'I. Фін результат'!F64</f>
        <v>(    )</v>
      </c>
      <c r="G44" s="221" t="e">
        <f t="shared" si="1"/>
        <v>#VALUE!</v>
      </c>
      <c r="H44" s="212" t="e">
        <f t="shared" si="0"/>
        <v>#VALUE!</v>
      </c>
    </row>
    <row r="45" spans="1:8" s="59" customFormat="1" ht="24.75" customHeight="1">
      <c r="A45" s="61" t="s">
        <v>63</v>
      </c>
      <c r="B45" s="220">
        <v>1082</v>
      </c>
      <c r="C45" s="210" t="str">
        <f>'I. Фін результат'!C65</f>
        <v>(    )</v>
      </c>
      <c r="D45" s="210" t="str">
        <f>'I. Фін результат'!D65</f>
        <v>(    )</v>
      </c>
      <c r="E45" s="210" t="str">
        <f>'I. Фін результат'!E65</f>
        <v>(    )</v>
      </c>
      <c r="F45" s="210" t="str">
        <f>'I. Фін результат'!F65</f>
        <v>(    )</v>
      </c>
      <c r="G45" s="221" t="e">
        <f t="shared" si="1"/>
        <v>#VALUE!</v>
      </c>
      <c r="H45" s="212" t="e">
        <f t="shared" si="0"/>
        <v>#VALUE!</v>
      </c>
    </row>
    <row r="46" spans="1:8" s="59" customFormat="1" ht="24.75" customHeight="1">
      <c r="A46" s="60" t="s">
        <v>64</v>
      </c>
      <c r="B46" s="214">
        <v>1100</v>
      </c>
      <c r="C46" s="217">
        <f>SUM(C32,C33,C39,C40,C43)</f>
        <v>2287.3</v>
      </c>
      <c r="D46" s="217">
        <f>SUM(D32,D33,D39,D40,D43)</f>
        <v>-436.99999999999727</v>
      </c>
      <c r="E46" s="217">
        <f>SUM(E32,E33,E39,E40,E43)</f>
        <v>0</v>
      </c>
      <c r="F46" s="217">
        <f>SUM(F32,F33,F39,F40,F43)</f>
        <v>-1508.8999999999999</v>
      </c>
      <c r="G46" s="218">
        <f t="shared" si="1"/>
        <v>-1508.8999999999999</v>
      </c>
      <c r="H46" s="219" t="e">
        <f t="shared" si="0"/>
        <v>#DIV/0!</v>
      </c>
    </row>
    <row r="47" spans="1:8" s="59" customFormat="1" ht="24.75" customHeight="1">
      <c r="A47" s="223" t="s">
        <v>65</v>
      </c>
      <c r="B47" s="214">
        <v>1310</v>
      </c>
      <c r="C47" s="224" t="e">
        <f>'I. Фін результат'!C106</f>
        <v>#VALUE!</v>
      </c>
      <c r="D47" s="224" t="e">
        <f>'I. Фін результат'!D106</f>
        <v>#VALUE!</v>
      </c>
      <c r="E47" s="224" t="e">
        <f>'I. Фін результат'!E106</f>
        <v>#VALUE!</v>
      </c>
      <c r="F47" s="224" t="e">
        <f>'I. Фін результат'!F106</f>
        <v>#VALUE!</v>
      </c>
      <c r="G47" s="224" t="e">
        <f t="shared" si="1"/>
        <v>#VALUE!</v>
      </c>
      <c r="H47" s="219" t="e">
        <f t="shared" si="0"/>
        <v>#VALUE!</v>
      </c>
    </row>
    <row r="48" spans="1:8" s="59" customFormat="1" ht="24.75" customHeight="1">
      <c r="A48" s="223" t="s">
        <v>66</v>
      </c>
      <c r="B48" s="214">
        <v>5010</v>
      </c>
      <c r="C48" s="225" t="e">
        <f>(C47/C30)*100</f>
        <v>#VALUE!</v>
      </c>
      <c r="D48" s="225" t="e">
        <f>(D47/D30)*100</f>
        <v>#VALUE!</v>
      </c>
      <c r="E48" s="225" t="e">
        <f>(E47/E30)*100</f>
        <v>#VALUE!</v>
      </c>
      <c r="F48" s="225" t="e">
        <f>(F47/F30)*100</f>
        <v>#VALUE!</v>
      </c>
      <c r="G48" s="224" t="e">
        <f t="shared" si="1"/>
        <v>#VALUE!</v>
      </c>
      <c r="H48" s="219" t="e">
        <f t="shared" si="0"/>
        <v>#VALUE!</v>
      </c>
    </row>
    <row r="49" spans="1:8" s="59" customFormat="1" ht="22.5" customHeight="1">
      <c r="A49" s="61" t="s">
        <v>67</v>
      </c>
      <c r="B49" s="220">
        <v>1110</v>
      </c>
      <c r="C49" s="226">
        <f>'I. Фін результат'!C78</f>
        <v>0</v>
      </c>
      <c r="D49" s="226">
        <f>'I. Фін результат'!D78</f>
        <v>0</v>
      </c>
      <c r="E49" s="226">
        <f>'I. Фін результат'!E78</f>
        <v>0</v>
      </c>
      <c r="F49" s="226">
        <f>'I. Фін результат'!F78</f>
        <v>0</v>
      </c>
      <c r="G49" s="221">
        <f t="shared" si="1"/>
        <v>0</v>
      </c>
      <c r="H49" s="212" t="e">
        <f t="shared" si="0"/>
        <v>#DIV/0!</v>
      </c>
    </row>
    <row r="50" spans="1:8" s="59" customFormat="1" ht="22.5" customHeight="1">
      <c r="A50" s="61" t="s">
        <v>68</v>
      </c>
      <c r="B50" s="220">
        <v>1120</v>
      </c>
      <c r="C50" s="226" t="str">
        <f>'I. Фін результат'!C79</f>
        <v>(    )</v>
      </c>
      <c r="D50" s="226" t="str">
        <f>'I. Фін результат'!D79</f>
        <v>(    )</v>
      </c>
      <c r="E50" s="226" t="str">
        <f>'I. Фін результат'!E79</f>
        <v>(    )</v>
      </c>
      <c r="F50" s="226" t="str">
        <f>'I. Фін результат'!F79</f>
        <v>(    )</v>
      </c>
      <c r="G50" s="221" t="e">
        <f t="shared" si="1"/>
        <v>#VALUE!</v>
      </c>
      <c r="H50" s="212" t="e">
        <f t="shared" si="0"/>
        <v>#VALUE!</v>
      </c>
    </row>
    <row r="51" spans="1:8" s="59" customFormat="1" ht="22.5" customHeight="1">
      <c r="A51" s="61" t="s">
        <v>69</v>
      </c>
      <c r="B51" s="220">
        <v>1130</v>
      </c>
      <c r="C51" s="226">
        <f>'I. Фін результат'!C80</f>
        <v>0</v>
      </c>
      <c r="D51" s="226">
        <f>'I. Фін результат'!D80</f>
        <v>0</v>
      </c>
      <c r="E51" s="226">
        <f>'I. Фін результат'!E80</f>
        <v>0</v>
      </c>
      <c r="F51" s="226">
        <f>'I. Фін результат'!F80</f>
        <v>0</v>
      </c>
      <c r="G51" s="221">
        <f t="shared" si="1"/>
        <v>0</v>
      </c>
      <c r="H51" s="212" t="e">
        <f t="shared" si="0"/>
        <v>#DIV/0!</v>
      </c>
    </row>
    <row r="52" spans="1:8" s="59" customFormat="1" ht="22.5" customHeight="1">
      <c r="A52" s="61" t="s">
        <v>70</v>
      </c>
      <c r="B52" s="220">
        <v>1140</v>
      </c>
      <c r="C52" s="226" t="str">
        <f>'I. Фін результат'!C81</f>
        <v>(    )</v>
      </c>
      <c r="D52" s="226" t="str">
        <f>'I. Фін результат'!D81</f>
        <v>(    )</v>
      </c>
      <c r="E52" s="226" t="str">
        <f>'I. Фін результат'!E81</f>
        <v>(    )</v>
      </c>
      <c r="F52" s="226" t="str">
        <f>'I. Фін результат'!F81</f>
        <v>(    )</v>
      </c>
      <c r="G52" s="221" t="e">
        <f t="shared" si="1"/>
        <v>#VALUE!</v>
      </c>
      <c r="H52" s="212" t="e">
        <f t="shared" si="0"/>
        <v>#VALUE!</v>
      </c>
    </row>
    <row r="53" spans="1:8" s="59" customFormat="1" ht="22.5" customHeight="1">
      <c r="A53" s="61" t="s">
        <v>71</v>
      </c>
      <c r="B53" s="220">
        <v>1150</v>
      </c>
      <c r="C53" s="311">
        <f>'I. Фін результат'!C82</f>
        <v>72.3</v>
      </c>
      <c r="D53" s="227">
        <f>'I. Фін результат'!D82</f>
        <v>214.5</v>
      </c>
      <c r="E53" s="227">
        <f>'I. Фін результат'!E82</f>
        <v>40</v>
      </c>
      <c r="F53" s="227">
        <f>'I. Фін результат'!F82</f>
        <v>136</v>
      </c>
      <c r="G53" s="228">
        <f t="shared" si="1"/>
        <v>96</v>
      </c>
      <c r="H53" s="212">
        <f t="shared" si="0"/>
        <v>340</v>
      </c>
    </row>
    <row r="54" spans="1:8" s="59" customFormat="1" ht="22.5" customHeight="1">
      <c r="A54" s="61" t="s">
        <v>60</v>
      </c>
      <c r="B54" s="220">
        <v>1151</v>
      </c>
      <c r="C54" s="227">
        <f>'I. Фін результат'!C83</f>
        <v>0</v>
      </c>
      <c r="D54" s="227">
        <f>'I. Фін результат'!D83</f>
        <v>0</v>
      </c>
      <c r="E54" s="227">
        <f>'I. Фін результат'!E83</f>
        <v>0</v>
      </c>
      <c r="F54" s="227">
        <f>'I. Фін результат'!F83</f>
        <v>0</v>
      </c>
      <c r="G54" s="221">
        <f t="shared" si="1"/>
        <v>0</v>
      </c>
      <c r="H54" s="212" t="e">
        <f t="shared" si="0"/>
        <v>#DIV/0!</v>
      </c>
    </row>
    <row r="55" spans="1:8" s="59" customFormat="1" ht="22.5" customHeight="1">
      <c r="A55" s="61" t="s">
        <v>72</v>
      </c>
      <c r="B55" s="220">
        <v>1160</v>
      </c>
      <c r="C55" s="227">
        <f>'I. Фін результат'!C85</f>
        <v>-72.3</v>
      </c>
      <c r="D55" s="227">
        <f>'I. Фін результат'!D85</f>
        <v>-214.5</v>
      </c>
      <c r="E55" s="227">
        <f>'I. Фін результат'!E85</f>
        <v>-40</v>
      </c>
      <c r="F55" s="227">
        <f>'I. Фін результат'!F85</f>
        <v>-136</v>
      </c>
      <c r="G55" s="215">
        <f t="shared" si="1"/>
        <v>-96</v>
      </c>
      <c r="H55" s="212">
        <f t="shared" si="0"/>
        <v>340</v>
      </c>
    </row>
    <row r="56" spans="1:8" s="59" customFormat="1" ht="22.5" customHeight="1">
      <c r="A56" s="61" t="s">
        <v>60</v>
      </c>
      <c r="B56" s="220">
        <v>1161</v>
      </c>
      <c r="C56" s="226" t="str">
        <f>'I. Фін результат'!C86</f>
        <v>(    )</v>
      </c>
      <c r="D56" s="226" t="str">
        <f>'I. Фін результат'!D86</f>
        <v>(    )</v>
      </c>
      <c r="E56" s="211" t="str">
        <f>'I. Фін результат'!E86</f>
        <v>(    )</v>
      </c>
      <c r="F56" s="211" t="str">
        <f>'I. Фін результат'!F86</f>
        <v>(    )</v>
      </c>
      <c r="G56" s="221" t="e">
        <f t="shared" si="1"/>
        <v>#VALUE!</v>
      </c>
      <c r="H56" s="212" t="e">
        <f t="shared" si="0"/>
        <v>#VALUE!</v>
      </c>
    </row>
    <row r="57" spans="1:8" s="59" customFormat="1" ht="22.5" customHeight="1">
      <c r="A57" s="223" t="s">
        <v>73</v>
      </c>
      <c r="B57" s="229">
        <v>1170</v>
      </c>
      <c r="C57" s="217">
        <f>SUM(C46,C49:C53,C55)</f>
        <v>2287.3</v>
      </c>
      <c r="D57" s="217">
        <f>SUM(D46,D49:D53,D55)</f>
        <v>-436.99999999999727</v>
      </c>
      <c r="E57" s="217">
        <f>SUM(E46,E49:E53,E55)</f>
        <v>0</v>
      </c>
      <c r="F57" s="217">
        <f>SUM(F46,F49:F53,F55)</f>
        <v>-1508.8999999999999</v>
      </c>
      <c r="G57" s="218">
        <f t="shared" si="1"/>
        <v>-1508.8999999999999</v>
      </c>
      <c r="H57" s="219" t="e">
        <f t="shared" si="0"/>
        <v>#DIV/0!</v>
      </c>
    </row>
    <row r="58" spans="1:8" s="59" customFormat="1" ht="22.5" customHeight="1">
      <c r="A58" s="61" t="s">
        <v>74</v>
      </c>
      <c r="B58" s="214">
        <v>1180</v>
      </c>
      <c r="C58" s="210"/>
      <c r="D58" s="210"/>
      <c r="E58" s="210"/>
      <c r="F58" s="210"/>
      <c r="G58" s="221">
        <f t="shared" si="1"/>
        <v>0</v>
      </c>
      <c r="H58" s="212" t="e">
        <f t="shared" si="0"/>
        <v>#DIV/0!</v>
      </c>
    </row>
    <row r="59" spans="1:8" s="59" customFormat="1" ht="22.5" customHeight="1">
      <c r="A59" s="61" t="s">
        <v>75</v>
      </c>
      <c r="B59" s="214">
        <v>1181</v>
      </c>
      <c r="C59" s="210"/>
      <c r="D59" s="210"/>
      <c r="E59" s="210"/>
      <c r="F59" s="210"/>
      <c r="G59" s="221">
        <f t="shared" si="1"/>
        <v>0</v>
      </c>
      <c r="H59" s="212" t="e">
        <f t="shared" si="0"/>
        <v>#DIV/0!</v>
      </c>
    </row>
    <row r="60" spans="1:8" s="59" customFormat="1" ht="22.5" customHeight="1">
      <c r="A60" s="61" t="s">
        <v>76</v>
      </c>
      <c r="B60" s="220">
        <v>1190</v>
      </c>
      <c r="C60" s="210"/>
      <c r="D60" s="210"/>
      <c r="E60" s="210"/>
      <c r="F60" s="210"/>
      <c r="G60" s="221">
        <f t="shared" si="1"/>
        <v>0</v>
      </c>
      <c r="H60" s="212" t="e">
        <f t="shared" si="0"/>
        <v>#DIV/0!</v>
      </c>
    </row>
    <row r="61" spans="1:8" s="59" customFormat="1" ht="22.5" customHeight="1">
      <c r="A61" s="61" t="s">
        <v>77</v>
      </c>
      <c r="B61" s="220">
        <v>1191</v>
      </c>
      <c r="C61" s="210"/>
      <c r="D61" s="210"/>
      <c r="E61" s="210"/>
      <c r="F61" s="210"/>
      <c r="G61" s="221">
        <f t="shared" si="1"/>
        <v>0</v>
      </c>
      <c r="H61" s="212" t="e">
        <f t="shared" si="0"/>
        <v>#DIV/0!</v>
      </c>
    </row>
    <row r="62" spans="1:8" s="59" customFormat="1" ht="22.5" customHeight="1">
      <c r="A62" s="60" t="s">
        <v>78</v>
      </c>
      <c r="B62" s="220">
        <v>1200</v>
      </c>
      <c r="C62" s="217">
        <f>SUM(C57:C61)</f>
        <v>2287.3</v>
      </c>
      <c r="D62" s="217">
        <f>SUM(D57:D61)</f>
        <v>-436.99999999999727</v>
      </c>
      <c r="E62" s="217">
        <f>SUM(E57:E61)</f>
        <v>0</v>
      </c>
      <c r="F62" s="217">
        <f>SUM(F57:F61)</f>
        <v>-1508.8999999999999</v>
      </c>
      <c r="G62" s="218">
        <f t="shared" si="1"/>
        <v>-1508.8999999999999</v>
      </c>
      <c r="H62" s="219" t="e">
        <f t="shared" si="0"/>
        <v>#DIV/0!</v>
      </c>
    </row>
    <row r="63" spans="1:8" s="59" customFormat="1" ht="22.5" customHeight="1">
      <c r="A63" s="61" t="s">
        <v>79</v>
      </c>
      <c r="B63" s="220">
        <v>1201</v>
      </c>
      <c r="C63" s="210">
        <f>'I. Фін результат'!C94</f>
        <v>0</v>
      </c>
      <c r="D63" s="210">
        <f>'I. Фін результат'!D94</f>
        <v>0</v>
      </c>
      <c r="E63" s="210">
        <f>'I. Фін результат'!E94</f>
        <v>0</v>
      </c>
      <c r="F63" s="210">
        <f>'I. Фін результат'!F94</f>
        <v>0</v>
      </c>
      <c r="G63" s="221">
        <f t="shared" si="1"/>
        <v>0</v>
      </c>
      <c r="H63" s="212" t="e">
        <f t="shared" si="0"/>
        <v>#DIV/0!</v>
      </c>
    </row>
    <row r="64" spans="1:8" s="59" customFormat="1" ht="22.5" customHeight="1">
      <c r="A64" s="61" t="s">
        <v>80</v>
      </c>
      <c r="B64" s="220">
        <v>1202</v>
      </c>
      <c r="C64" s="210" t="str">
        <f>'I. Фін результат'!C95</f>
        <v>(    )</v>
      </c>
      <c r="D64" s="210" t="str">
        <f>'I. Фін результат'!D95</f>
        <v>(    )</v>
      </c>
      <c r="E64" s="210" t="str">
        <f>'I. Фін результат'!E95</f>
        <v>(    )</v>
      </c>
      <c r="F64" s="210">
        <f>'I. Фін результат'!F95</f>
        <v>-1508.9</v>
      </c>
      <c r="G64" s="221" t="e">
        <f t="shared" si="1"/>
        <v>#VALUE!</v>
      </c>
      <c r="H64" s="212" t="e">
        <f t="shared" si="0"/>
        <v>#VALUE!</v>
      </c>
    </row>
    <row r="65" spans="1:8" s="59" customFormat="1" ht="22.5" customHeight="1">
      <c r="A65" s="60" t="s">
        <v>81</v>
      </c>
      <c r="B65" s="220">
        <v>1210</v>
      </c>
      <c r="C65" s="231">
        <f>SUM(C30,C40,C49,C51,C53,C59,C60)</f>
        <v>12628.599999999999</v>
      </c>
      <c r="D65" s="231">
        <f>SUM(D30,D40,D49,D51,D53,D59,D60)</f>
        <v>17327.600000000002</v>
      </c>
      <c r="E65" s="231">
        <f>SUM(E30,E40,E49,E51,E53,E59,E60)</f>
        <v>6620</v>
      </c>
      <c r="F65" s="231">
        <f>SUM(F30,F40,F49,F51,F53,F59,F60)</f>
        <v>9837.1</v>
      </c>
      <c r="G65" s="218">
        <f t="shared" si="1"/>
        <v>3217.1000000000004</v>
      </c>
      <c r="H65" s="219">
        <f t="shared" si="0"/>
        <v>148.59667673716012</v>
      </c>
    </row>
    <row r="66" spans="1:8" s="59" customFormat="1" ht="22.5" customHeight="1">
      <c r="A66" s="60" t="s">
        <v>82</v>
      </c>
      <c r="B66" s="220">
        <v>1220</v>
      </c>
      <c r="C66" s="231">
        <f>SUM(C31,C33,C39,C43,C50,C52,C55,C58,C61)</f>
        <v>-10341.3</v>
      </c>
      <c r="D66" s="231">
        <f>SUM(D31,D33,D39,D43,D50,D52,D55,D58,D61)</f>
        <v>-17764.6</v>
      </c>
      <c r="E66" s="231">
        <f>SUM(E31,E33,E39,E43,E50,E52,E55,E58,E61)</f>
        <v>-6620</v>
      </c>
      <c r="F66" s="231">
        <f>SUM(F31,F33,F39,F43,F50,F52,F55,F58,F61)</f>
        <v>-11346</v>
      </c>
      <c r="G66" s="218">
        <f t="shared" si="1"/>
        <v>-4726</v>
      </c>
      <c r="H66" s="219">
        <f t="shared" si="0"/>
        <v>171.38972809667675</v>
      </c>
    </row>
    <row r="67" spans="1:8" s="59" customFormat="1" ht="22.5" customHeight="1">
      <c r="A67" s="61" t="s">
        <v>83</v>
      </c>
      <c r="B67" s="220">
        <v>1230</v>
      </c>
      <c r="C67" s="210"/>
      <c r="D67" s="210"/>
      <c r="E67" s="210"/>
      <c r="F67" s="210"/>
      <c r="G67" s="221">
        <f t="shared" si="1"/>
        <v>0</v>
      </c>
      <c r="H67" s="212" t="e">
        <f t="shared" si="0"/>
        <v>#DIV/0!</v>
      </c>
    </row>
    <row r="68" spans="1:8" s="59" customFormat="1" ht="22.5" customHeight="1">
      <c r="A68" s="60" t="s">
        <v>84</v>
      </c>
      <c r="B68" s="220"/>
      <c r="C68" s="62"/>
      <c r="D68" s="63"/>
      <c r="E68" s="63"/>
      <c r="F68" s="63"/>
      <c r="G68" s="221">
        <f t="shared" si="1"/>
        <v>0</v>
      </c>
      <c r="H68" s="212" t="e">
        <f t="shared" si="0"/>
        <v>#DIV/0!</v>
      </c>
    </row>
    <row r="69" spans="1:8" s="59" customFormat="1" ht="22.5" customHeight="1">
      <c r="A69" s="61" t="s">
        <v>85</v>
      </c>
      <c r="B69" s="220">
        <v>1400</v>
      </c>
      <c r="C69" s="210">
        <f>'I. Фін результат'!C108</f>
        <v>332.4</v>
      </c>
      <c r="D69" s="210">
        <f>'I. Фін результат'!D108</f>
        <v>2699.8</v>
      </c>
      <c r="E69" s="210">
        <f>'I. Фін результат'!E108</f>
        <v>60</v>
      </c>
      <c r="F69" s="210">
        <f>'I. Фін результат'!F108</f>
        <v>2236.3</v>
      </c>
      <c r="G69" s="215">
        <f t="shared" si="1"/>
        <v>2176.3</v>
      </c>
      <c r="H69" s="212">
        <f t="shared" si="0"/>
        <v>3727.166666666667</v>
      </c>
    </row>
    <row r="70" spans="1:8" s="59" customFormat="1" ht="22.5" customHeight="1">
      <c r="A70" s="61" t="s">
        <v>86</v>
      </c>
      <c r="B70" s="232">
        <v>1401</v>
      </c>
      <c r="C70" s="210">
        <f>'I. Фін результат'!C109</f>
        <v>318.2</v>
      </c>
      <c r="D70" s="210">
        <f>'I. Фін результат'!D109</f>
        <v>2699.8</v>
      </c>
      <c r="E70" s="210">
        <f>'I. Фін результат'!E109</f>
        <v>60</v>
      </c>
      <c r="F70" s="210">
        <f>'I. Фін результат'!F109</f>
        <v>2236.3</v>
      </c>
      <c r="G70" s="215">
        <f t="shared" si="1"/>
        <v>2176.3</v>
      </c>
      <c r="H70" s="212">
        <f t="shared" si="0"/>
        <v>3727.166666666667</v>
      </c>
    </row>
    <row r="71" spans="1:8" s="59" customFormat="1" ht="22.5" customHeight="1">
      <c r="A71" s="61" t="s">
        <v>87</v>
      </c>
      <c r="B71" s="232">
        <v>1402</v>
      </c>
      <c r="C71" s="210">
        <f>'I. Фін результат'!C110</f>
        <v>14.2</v>
      </c>
      <c r="D71" s="210">
        <f>'I. Фін результат'!D110</f>
        <v>0</v>
      </c>
      <c r="E71" s="210">
        <f>'I. Фін результат'!E110</f>
        <v>0</v>
      </c>
      <c r="F71" s="210">
        <f>'I. Фін результат'!F110</f>
        <v>0</v>
      </c>
      <c r="G71" s="215">
        <f t="shared" si="1"/>
        <v>0</v>
      </c>
      <c r="H71" s="212" t="e">
        <f t="shared" si="0"/>
        <v>#DIV/0!</v>
      </c>
    </row>
    <row r="72" spans="1:8" s="59" customFormat="1" ht="22.5" customHeight="1">
      <c r="A72" s="61" t="s">
        <v>88</v>
      </c>
      <c r="B72" s="232">
        <v>1410</v>
      </c>
      <c r="C72" s="210">
        <f>'I. Фін результат'!C111</f>
        <v>5833.9</v>
      </c>
      <c r="D72" s="210">
        <f>'I. Фін результат'!D111</f>
        <v>9306.8</v>
      </c>
      <c r="E72" s="210">
        <f>'I. Фін результат'!E111</f>
        <v>4620</v>
      </c>
      <c r="F72" s="210">
        <f>'I. Фін результат'!F111</f>
        <v>5521.9</v>
      </c>
      <c r="G72" s="215">
        <f t="shared" si="1"/>
        <v>901.8999999999996</v>
      </c>
      <c r="H72" s="212">
        <f t="shared" si="0"/>
        <v>119.52164502164501</v>
      </c>
    </row>
    <row r="73" spans="1:8" s="59" customFormat="1" ht="22.5" customHeight="1">
      <c r="A73" s="61" t="s">
        <v>89</v>
      </c>
      <c r="B73" s="232">
        <v>1420</v>
      </c>
      <c r="C73" s="210">
        <f>'I. Фін результат'!C112</f>
        <v>1225.9</v>
      </c>
      <c r="D73" s="210">
        <f>'I. Фін результат'!D112</f>
        <v>1895.8000000000002</v>
      </c>
      <c r="E73" s="210">
        <f>'I. Фін результат'!E112</f>
        <v>1000</v>
      </c>
      <c r="F73" s="210">
        <f>'I. Фін результат'!F112</f>
        <v>1092.9</v>
      </c>
      <c r="G73" s="215">
        <f t="shared" si="1"/>
        <v>92.90000000000009</v>
      </c>
      <c r="H73" s="212">
        <f t="shared" si="0"/>
        <v>109.28999999999999</v>
      </c>
    </row>
    <row r="74" spans="1:8" s="59" customFormat="1" ht="22.5" customHeight="1">
      <c r="A74" s="61" t="s">
        <v>90</v>
      </c>
      <c r="B74" s="232">
        <v>1430</v>
      </c>
      <c r="C74" s="210">
        <f>'I. Фін результат'!C113</f>
        <v>572.5</v>
      </c>
      <c r="D74" s="210">
        <f>'I. Фін результат'!D113</f>
        <v>633.9</v>
      </c>
      <c r="E74" s="210">
        <f>'I. Фін результат'!E113</f>
        <v>390</v>
      </c>
      <c r="F74" s="210">
        <f>'I. Фін результат'!F113</f>
        <v>475</v>
      </c>
      <c r="G74" s="215">
        <f t="shared" si="1"/>
        <v>85</v>
      </c>
      <c r="H74" s="212">
        <f t="shared" si="0"/>
        <v>121.79487179487178</v>
      </c>
    </row>
    <row r="75" spans="1:8" s="59" customFormat="1" ht="22.5" customHeight="1">
      <c r="A75" s="61" t="s">
        <v>91</v>
      </c>
      <c r="B75" s="232">
        <v>1440</v>
      </c>
      <c r="C75" s="210">
        <f>'I. Фін результат'!C114</f>
        <v>2376.6</v>
      </c>
      <c r="D75" s="210">
        <f>'I. Фін результат'!D114</f>
        <v>3228</v>
      </c>
      <c r="E75" s="210">
        <f>'I. Фін результат'!E114</f>
        <v>550</v>
      </c>
      <c r="F75" s="210">
        <f>'I. Фін результат'!F114</f>
        <v>2019.6</v>
      </c>
      <c r="G75" s="215">
        <f t="shared" si="1"/>
        <v>1469.6</v>
      </c>
      <c r="H75" s="212">
        <f t="shared" si="0"/>
        <v>367.2</v>
      </c>
    </row>
    <row r="76" spans="1:8" s="59" customFormat="1" ht="22.5" customHeight="1">
      <c r="A76" s="60" t="s">
        <v>92</v>
      </c>
      <c r="B76" s="232">
        <v>1450</v>
      </c>
      <c r="C76" s="217">
        <f>SUM(C69,C72,C73,C74,C75)</f>
        <v>10341.3</v>
      </c>
      <c r="D76" s="217">
        <f>SUM(D69,D72,D73,D74,D75)</f>
        <v>17764.299999999996</v>
      </c>
      <c r="E76" s="217">
        <f>SUM(E69,E72,E73,E74,E75)</f>
        <v>6620</v>
      </c>
      <c r="F76" s="217">
        <f>SUM(F69,F72,F73,F74,F75)</f>
        <v>11345.7</v>
      </c>
      <c r="G76" s="218">
        <f t="shared" si="1"/>
        <v>4725.700000000001</v>
      </c>
      <c r="H76" s="219">
        <f t="shared" si="0"/>
        <v>171.38519637462238</v>
      </c>
    </row>
    <row r="77" spans="1:8" s="59" customFormat="1" ht="15.75" customHeight="1">
      <c r="A77" s="331" t="s">
        <v>93</v>
      </c>
      <c r="B77" s="332"/>
      <c r="C77" s="332"/>
      <c r="D77" s="332"/>
      <c r="E77" s="332"/>
      <c r="F77" s="332"/>
      <c r="G77" s="332"/>
      <c r="H77" s="333"/>
    </row>
    <row r="78" spans="1:8" s="59" customFormat="1" ht="21" customHeight="1">
      <c r="A78" s="334" t="s">
        <v>94</v>
      </c>
      <c r="B78" s="335"/>
      <c r="C78" s="335"/>
      <c r="D78" s="335"/>
      <c r="E78" s="335"/>
      <c r="F78" s="335"/>
      <c r="G78" s="335"/>
      <c r="H78" s="336"/>
    </row>
    <row r="79" spans="1:8" s="59" customFormat="1" ht="33" customHeight="1">
      <c r="A79" s="233" t="s">
        <v>95</v>
      </c>
      <c r="B79" s="234">
        <v>2000</v>
      </c>
      <c r="C79" s="226">
        <f>'ІІ. Розр. з бюджетом'!C7</f>
        <v>6414.4</v>
      </c>
      <c r="D79" s="210">
        <f>'ІІ. Розр. з бюджетом'!D7</f>
        <v>10183.6</v>
      </c>
      <c r="E79" s="226">
        <f>'ІІ. Розр. з бюджетом'!E7</f>
        <v>0</v>
      </c>
      <c r="F79" s="227">
        <f>'ІІ. Розр. з бюджетом'!F7</f>
        <v>10073.4</v>
      </c>
      <c r="G79" s="226">
        <f aca="true" t="shared" si="2" ref="G79:G89">F79-E79</f>
        <v>10073.4</v>
      </c>
      <c r="H79" s="212" t="e">
        <f aca="true" t="shared" si="3" ref="H79:H130">(F79/E79)*100</f>
        <v>#DIV/0!</v>
      </c>
    </row>
    <row r="80" spans="1:8" s="59" customFormat="1" ht="36.75" customHeight="1">
      <c r="A80" s="235" t="s">
        <v>96</v>
      </c>
      <c r="B80" s="220">
        <v>2010</v>
      </c>
      <c r="C80" s="236">
        <f>SUM(C81:C82)</f>
        <v>0</v>
      </c>
      <c r="D80" s="236">
        <f>SUM(D81:D82)</f>
        <v>0</v>
      </c>
      <c r="E80" s="236">
        <f>SUM(E81:E82)</f>
        <v>0</v>
      </c>
      <c r="F80" s="236">
        <f>SUM(F81:F82)</f>
        <v>0</v>
      </c>
      <c r="G80" s="221">
        <f t="shared" si="2"/>
        <v>0</v>
      </c>
      <c r="H80" s="212" t="e">
        <f t="shared" si="3"/>
        <v>#DIV/0!</v>
      </c>
    </row>
    <row r="81" spans="1:8" s="59" customFormat="1" ht="34.5" customHeight="1">
      <c r="A81" s="61" t="s">
        <v>97</v>
      </c>
      <c r="B81" s="220">
        <v>2011</v>
      </c>
      <c r="C81" s="226" t="str">
        <f>'ІІ. Розр. з бюджетом'!C9</f>
        <v>(    )</v>
      </c>
      <c r="D81" s="226" t="str">
        <f>'ІІ. Розр. з бюджетом'!D9</f>
        <v>(    )</v>
      </c>
      <c r="E81" s="226" t="str">
        <f>'ІІ. Розр. з бюджетом'!E9</f>
        <v>(    )</v>
      </c>
      <c r="F81" s="226" t="str">
        <f>'ІІ. Розр. з бюджетом'!F9</f>
        <v>(    )</v>
      </c>
      <c r="G81" s="221" t="e">
        <f t="shared" si="2"/>
        <v>#VALUE!</v>
      </c>
      <c r="H81" s="212" t="e">
        <f t="shared" si="3"/>
        <v>#VALUE!</v>
      </c>
    </row>
    <row r="82" spans="1:8" s="59" customFormat="1" ht="37.5" customHeight="1">
      <c r="A82" s="61" t="s">
        <v>98</v>
      </c>
      <c r="B82" s="220">
        <v>2012</v>
      </c>
      <c r="C82" s="226" t="str">
        <f>'ІІ. Розр. з бюджетом'!C10</f>
        <v>(    )</v>
      </c>
      <c r="D82" s="226" t="str">
        <f>'ІІ. Розр. з бюджетом'!D10</f>
        <v>(    )</v>
      </c>
      <c r="E82" s="226" t="str">
        <f>'ІІ. Розр. з бюджетом'!E10</f>
        <v>(    )</v>
      </c>
      <c r="F82" s="226" t="str">
        <f>'ІІ. Розр. з бюджетом'!F10</f>
        <v>(    )</v>
      </c>
      <c r="G82" s="221" t="e">
        <f t="shared" si="2"/>
        <v>#VALUE!</v>
      </c>
      <c r="H82" s="212" t="e">
        <f t="shared" si="3"/>
        <v>#VALUE!</v>
      </c>
    </row>
    <row r="83" spans="1:8" s="59" customFormat="1" ht="22.5" customHeight="1">
      <c r="A83" s="61" t="s">
        <v>99</v>
      </c>
      <c r="B83" s="220" t="s">
        <v>100</v>
      </c>
      <c r="C83" s="226" t="str">
        <f>'ІІ. Розр. з бюджетом'!C11</f>
        <v>(    )</v>
      </c>
      <c r="D83" s="226" t="str">
        <f>'ІІ. Розр. з бюджетом'!D11</f>
        <v>(    )</v>
      </c>
      <c r="E83" s="226" t="str">
        <f>'ІІ. Розр. з бюджетом'!E11</f>
        <v>(    )</v>
      </c>
      <c r="F83" s="226" t="str">
        <f>'ІІ. Розр. з бюджетом'!F11</f>
        <v>(    )</v>
      </c>
      <c r="G83" s="237" t="e">
        <f t="shared" si="2"/>
        <v>#VALUE!</v>
      </c>
      <c r="H83" s="212" t="e">
        <f t="shared" si="3"/>
        <v>#VALUE!</v>
      </c>
    </row>
    <row r="84" spans="1:8" s="59" customFormat="1" ht="22.5" customHeight="1">
      <c r="A84" s="61" t="s">
        <v>101</v>
      </c>
      <c r="B84" s="220">
        <v>2020</v>
      </c>
      <c r="C84" s="226">
        <f>'ІІ. Розр. з бюджетом'!C12</f>
        <v>0</v>
      </c>
      <c r="D84" s="226">
        <f>'ІІ. Розр. з бюджетом'!D12</f>
        <v>0</v>
      </c>
      <c r="E84" s="226">
        <f>'ІІ. Розр. з бюджетом'!E12</f>
        <v>0</v>
      </c>
      <c r="F84" s="226">
        <f>'ІІ. Розр. з бюджетом'!F12</f>
        <v>0</v>
      </c>
      <c r="G84" s="221">
        <f t="shared" si="2"/>
        <v>0</v>
      </c>
      <c r="H84" s="212" t="e">
        <f t="shared" si="3"/>
        <v>#DIV/0!</v>
      </c>
    </row>
    <row r="85" spans="1:8" s="59" customFormat="1" ht="22.5" customHeight="1">
      <c r="A85" s="235" t="s">
        <v>102</v>
      </c>
      <c r="B85" s="220">
        <v>2030</v>
      </c>
      <c r="C85" s="226" t="str">
        <f>'ІІ. Розр. з бюджетом'!C13</f>
        <v>(    )</v>
      </c>
      <c r="D85" s="226" t="str">
        <f>'ІІ. Розр. з бюджетом'!D13</f>
        <v>(    )</v>
      </c>
      <c r="E85" s="226" t="str">
        <f>'ІІ. Розр. з бюджетом'!E13</f>
        <v>(    )</v>
      </c>
      <c r="F85" s="226" t="str">
        <f>'ІІ. Розр. з бюджетом'!F13</f>
        <v>(    )</v>
      </c>
      <c r="G85" s="221" t="e">
        <f t="shared" si="2"/>
        <v>#VALUE!</v>
      </c>
      <c r="H85" s="212" t="e">
        <f t="shared" si="3"/>
        <v>#VALUE!</v>
      </c>
    </row>
    <row r="86" spans="1:8" s="59" customFormat="1" ht="22.5" customHeight="1">
      <c r="A86" s="235" t="s">
        <v>103</v>
      </c>
      <c r="B86" s="220">
        <v>2040</v>
      </c>
      <c r="C86" s="226" t="str">
        <f>'ІІ. Розр. з бюджетом'!C15</f>
        <v>(    )</v>
      </c>
      <c r="D86" s="226" t="str">
        <f>'ІІ. Розр. з бюджетом'!D15</f>
        <v>(    )</v>
      </c>
      <c r="E86" s="226" t="str">
        <f>'ІІ. Розр. з бюджетом'!E15</f>
        <v>(    )</v>
      </c>
      <c r="F86" s="226" t="str">
        <f>'ІІ. Розр. з бюджетом'!F15</f>
        <v>(    )</v>
      </c>
      <c r="G86" s="221" t="e">
        <f t="shared" si="2"/>
        <v>#VALUE!</v>
      </c>
      <c r="H86" s="212" t="e">
        <f t="shared" si="3"/>
        <v>#VALUE!</v>
      </c>
    </row>
    <row r="87" spans="1:8" s="59" customFormat="1" ht="22.5" customHeight="1">
      <c r="A87" s="235" t="s">
        <v>104</v>
      </c>
      <c r="B87" s="220">
        <v>2050</v>
      </c>
      <c r="C87" s="226" t="str">
        <f>'ІІ. Розр. з бюджетом'!C16</f>
        <v>(    )</v>
      </c>
      <c r="D87" s="226" t="str">
        <f>'ІІ. Розр. з бюджетом'!D16</f>
        <v>(    )</v>
      </c>
      <c r="E87" s="226" t="str">
        <f>'ІІ. Розр. з бюджетом'!E16</f>
        <v>(    )</v>
      </c>
      <c r="F87" s="226" t="str">
        <f>'ІІ. Розр. з бюджетом'!F16</f>
        <v>(    )</v>
      </c>
      <c r="G87" s="221" t="e">
        <f t="shared" si="2"/>
        <v>#VALUE!</v>
      </c>
      <c r="H87" s="212" t="e">
        <f t="shared" si="3"/>
        <v>#VALUE!</v>
      </c>
    </row>
    <row r="88" spans="1:8" s="59" customFormat="1" ht="45.75" customHeight="1">
      <c r="A88" s="235" t="s">
        <v>505</v>
      </c>
      <c r="B88" s="220">
        <v>2060</v>
      </c>
      <c r="C88" s="226" t="str">
        <f>'ІІ. Розр. з бюджетом'!C17</f>
        <v>(    )</v>
      </c>
      <c r="D88" s="227">
        <f>'ІІ. Розр. з бюджетом'!D17</f>
        <v>-1182.1</v>
      </c>
      <c r="E88" s="226" t="str">
        <f>'ІІ. Розр. з бюджетом'!E17</f>
        <v>(    )</v>
      </c>
      <c r="F88" s="227" t="str">
        <f>'ІІ. Розр. з бюджетом'!F17</f>
        <v>(    )</v>
      </c>
      <c r="G88" s="221" t="e">
        <f t="shared" si="2"/>
        <v>#VALUE!</v>
      </c>
      <c r="H88" s="212" t="e">
        <f t="shared" si="3"/>
        <v>#VALUE!</v>
      </c>
    </row>
    <row r="89" spans="1:8" s="59" customFormat="1" ht="45" customHeight="1">
      <c r="A89" s="238" t="s">
        <v>105</v>
      </c>
      <c r="B89" s="220">
        <v>2070</v>
      </c>
      <c r="C89" s="239">
        <f>SUM(C79,C80,C84,C85,C86,C87,C88)+C62</f>
        <v>8701.7</v>
      </c>
      <c r="D89" s="239">
        <f>SUM(D79,D80,D84,D85,D86,D87,D88)+D62</f>
        <v>8564.500000000004</v>
      </c>
      <c r="E89" s="239">
        <f>SUM(E79,E80,E84,E85,E86,E87,E88)+E62</f>
        <v>0</v>
      </c>
      <c r="F89" s="239">
        <f>SUM(F79,F80,F84,F85,F86,F87,F88)+F62</f>
        <v>8564.5</v>
      </c>
      <c r="G89" s="240">
        <f t="shared" si="2"/>
        <v>8564.5</v>
      </c>
      <c r="H89" s="241" t="e">
        <f t="shared" si="3"/>
        <v>#DIV/0!</v>
      </c>
    </row>
    <row r="90" spans="1:8" s="59" customFormat="1" ht="24.75" customHeight="1">
      <c r="A90" s="337" t="s">
        <v>106</v>
      </c>
      <c r="B90" s="338"/>
      <c r="C90" s="338"/>
      <c r="D90" s="338"/>
      <c r="E90" s="338"/>
      <c r="F90" s="338"/>
      <c r="G90" s="338"/>
      <c r="H90" s="339"/>
    </row>
    <row r="91" spans="1:8" s="59" customFormat="1" ht="37.5" customHeight="1">
      <c r="A91" s="238" t="s">
        <v>107</v>
      </c>
      <c r="B91" s="220">
        <v>2110</v>
      </c>
      <c r="C91" s="224">
        <f>'ІІ. Розр. з бюджетом'!C20</f>
        <v>0</v>
      </c>
      <c r="D91" s="224">
        <f>'ІІ. Розр. з бюджетом'!D20</f>
        <v>0</v>
      </c>
      <c r="E91" s="224">
        <f>'ІІ. Розр. з бюджетом'!E20</f>
        <v>0</v>
      </c>
      <c r="F91" s="224">
        <f>'ІІ. Розр. з бюджетом'!F20</f>
        <v>0</v>
      </c>
      <c r="G91" s="224">
        <f aca="true" t="shared" si="4" ref="G91:G102">F91-E91</f>
        <v>0</v>
      </c>
      <c r="H91" s="219" t="e">
        <f t="shared" si="3"/>
        <v>#DIV/0!</v>
      </c>
    </row>
    <row r="92" spans="1:8" s="59" customFormat="1" ht="21.75" customHeight="1">
      <c r="A92" s="61" t="s">
        <v>108</v>
      </c>
      <c r="B92" s="220">
        <v>2111</v>
      </c>
      <c r="C92" s="221">
        <f>'ІІ. Розр. з бюджетом'!C21</f>
        <v>0</v>
      </c>
      <c r="D92" s="221">
        <f>'ІІ. Розр. з бюджетом'!D21</f>
        <v>0</v>
      </c>
      <c r="E92" s="221">
        <f>'ІІ. Розр. з бюджетом'!E21</f>
        <v>0</v>
      </c>
      <c r="F92" s="221">
        <f>'ІІ. Розр. з бюджетом'!F21</f>
        <v>0</v>
      </c>
      <c r="G92" s="221">
        <f t="shared" si="4"/>
        <v>0</v>
      </c>
      <c r="H92" s="212" t="e">
        <f t="shared" si="3"/>
        <v>#DIV/0!</v>
      </c>
    </row>
    <row r="93" spans="1:8" s="59" customFormat="1" ht="21.75" customHeight="1">
      <c r="A93" s="61" t="s">
        <v>109</v>
      </c>
      <c r="B93" s="220">
        <v>2112</v>
      </c>
      <c r="C93" s="221">
        <f>'ІІ. Розр. з бюджетом'!C22</f>
        <v>0</v>
      </c>
      <c r="D93" s="221">
        <f>'ІІ. Розр. з бюджетом'!D22</f>
        <v>0</v>
      </c>
      <c r="E93" s="221">
        <f>'ІІ. Розр. з бюджетом'!E22</f>
        <v>0</v>
      </c>
      <c r="F93" s="221">
        <f>'ІІ. Розр. з бюджетом'!F22</f>
        <v>0</v>
      </c>
      <c r="G93" s="221">
        <f t="shared" si="4"/>
        <v>0</v>
      </c>
      <c r="H93" s="212" t="e">
        <f t="shared" si="3"/>
        <v>#DIV/0!</v>
      </c>
    </row>
    <row r="94" spans="1:8" s="59" customFormat="1" ht="21.75" customHeight="1">
      <c r="A94" s="235" t="s">
        <v>110</v>
      </c>
      <c r="B94" s="214">
        <v>2113</v>
      </c>
      <c r="C94" s="221" t="str">
        <f>'ІІ. Розр. з бюджетом'!C23</f>
        <v>(    )</v>
      </c>
      <c r="D94" s="221" t="str">
        <f>'ІІ. Розр. з бюджетом'!D23</f>
        <v>(    )</v>
      </c>
      <c r="E94" s="221" t="str">
        <f>'ІІ. Розр. з бюджетом'!E23</f>
        <v>(    )</v>
      </c>
      <c r="F94" s="221" t="str">
        <f>'ІІ. Розр. з бюджетом'!F23</f>
        <v>(    )</v>
      </c>
      <c r="G94" s="221" t="e">
        <f t="shared" si="4"/>
        <v>#VALUE!</v>
      </c>
      <c r="H94" s="212" t="e">
        <f t="shared" si="3"/>
        <v>#VALUE!</v>
      </c>
    </row>
    <row r="95" spans="1:8" s="59" customFormat="1" ht="21.75" customHeight="1">
      <c r="A95" s="235" t="s">
        <v>111</v>
      </c>
      <c r="B95" s="214">
        <v>2114</v>
      </c>
      <c r="C95" s="221">
        <f>'ІІ. Розр. з бюджетом'!C24</f>
        <v>0</v>
      </c>
      <c r="D95" s="221">
        <f>'ІІ. Розр. з бюджетом'!D24</f>
        <v>0</v>
      </c>
      <c r="E95" s="221">
        <f>'ІІ. Розр. з бюджетом'!E24</f>
        <v>0</v>
      </c>
      <c r="F95" s="221">
        <f>'ІІ. Розр. з бюджетом'!F24</f>
        <v>0</v>
      </c>
      <c r="G95" s="221"/>
      <c r="H95" s="212" t="e">
        <f t="shared" si="3"/>
        <v>#DIV/0!</v>
      </c>
    </row>
    <row r="96" spans="1:8" s="59" customFormat="1" ht="33" customHeight="1">
      <c r="A96" s="235" t="s">
        <v>112</v>
      </c>
      <c r="B96" s="214">
        <v>2115</v>
      </c>
      <c r="C96" s="221">
        <f>'ІІ. Розр. з бюджетом'!C25</f>
        <v>0</v>
      </c>
      <c r="D96" s="221">
        <f>'ІІ. Розр. з бюджетом'!D25</f>
        <v>0</v>
      </c>
      <c r="E96" s="221">
        <f>'ІІ. Розр. з бюджетом'!E25</f>
        <v>0</v>
      </c>
      <c r="F96" s="221">
        <f>'ІІ. Розр. з бюджетом'!F25</f>
        <v>0</v>
      </c>
      <c r="G96" s="221"/>
      <c r="H96" s="212" t="e">
        <f t="shared" si="3"/>
        <v>#DIV/0!</v>
      </c>
    </row>
    <row r="97" spans="1:8" s="59" customFormat="1" ht="21.75" customHeight="1">
      <c r="A97" s="235" t="s">
        <v>113</v>
      </c>
      <c r="B97" s="214">
        <v>2116</v>
      </c>
      <c r="C97" s="221">
        <f>'ІІ. Розр. з бюджетом'!C26</f>
        <v>0</v>
      </c>
      <c r="D97" s="221">
        <f>'ІІ. Розр. з бюджетом'!D26</f>
        <v>0</v>
      </c>
      <c r="E97" s="221">
        <f>'ІІ. Розр. з бюджетом'!E26</f>
        <v>0</v>
      </c>
      <c r="F97" s="221">
        <f>'ІІ. Розр. з бюджетом'!F26</f>
        <v>0</v>
      </c>
      <c r="G97" s="221"/>
      <c r="H97" s="212" t="e">
        <f t="shared" si="3"/>
        <v>#DIV/0!</v>
      </c>
    </row>
    <row r="98" spans="1:8" s="59" customFormat="1" ht="21.75" customHeight="1">
      <c r="A98" s="235" t="s">
        <v>114</v>
      </c>
      <c r="B98" s="214">
        <v>2117</v>
      </c>
      <c r="C98" s="221">
        <f>'ІІ. Розр. з бюджетом'!C27</f>
        <v>0</v>
      </c>
      <c r="D98" s="221">
        <f>'ІІ. Розр. з бюджетом'!D27</f>
        <v>0</v>
      </c>
      <c r="E98" s="221">
        <f>'ІІ. Розр. з бюджетом'!E27</f>
        <v>0</v>
      </c>
      <c r="F98" s="221">
        <f>'ІІ. Розр. з бюджетом'!F27</f>
        <v>0</v>
      </c>
      <c r="G98" s="221"/>
      <c r="H98" s="212" t="e">
        <f t="shared" si="3"/>
        <v>#DIV/0!</v>
      </c>
    </row>
    <row r="99" spans="1:8" s="59" customFormat="1" ht="30.75" customHeight="1">
      <c r="A99" s="238" t="s">
        <v>115</v>
      </c>
      <c r="B99" s="242">
        <v>2120</v>
      </c>
      <c r="C99" s="243">
        <f>'ІІ. Розр. з бюджетом'!C30</f>
        <v>1045.2</v>
      </c>
      <c r="D99" s="243">
        <f>'ІІ. Розр. з бюджетом'!D30</f>
        <v>1629.9</v>
      </c>
      <c r="E99" s="243">
        <f>'ІІ. Розр. з бюджетом'!E30</f>
        <v>880</v>
      </c>
      <c r="F99" s="243">
        <f>'ІІ. Розр. з бюджетом'!F30</f>
        <v>913</v>
      </c>
      <c r="G99" s="244">
        <f t="shared" si="4"/>
        <v>33</v>
      </c>
      <c r="H99" s="219">
        <f t="shared" si="3"/>
        <v>103.75000000000001</v>
      </c>
    </row>
    <row r="100" spans="1:8" s="59" customFormat="1" ht="33.75" customHeight="1">
      <c r="A100" s="238" t="s">
        <v>116</v>
      </c>
      <c r="B100" s="242">
        <v>2130</v>
      </c>
      <c r="C100" s="243">
        <f>'ІІ. Розр. з бюджетом'!C35</f>
        <v>1315.5</v>
      </c>
      <c r="D100" s="243">
        <f>'ІІ. Розр. з бюджетом'!D35</f>
        <v>1984</v>
      </c>
      <c r="E100" s="243">
        <f>'ІІ. Розр. з бюджетом'!E35</f>
        <v>1070</v>
      </c>
      <c r="F100" s="243">
        <f>'ІІ. Розр. з бюджетом'!F35</f>
        <v>1130.3</v>
      </c>
      <c r="G100" s="244">
        <f t="shared" si="4"/>
        <v>60.299999999999955</v>
      </c>
      <c r="H100" s="219">
        <f t="shared" si="3"/>
        <v>105.63551401869158</v>
      </c>
    </row>
    <row r="101" spans="1:8" s="59" customFormat="1" ht="58.5" customHeight="1">
      <c r="A101" s="245" t="s">
        <v>117</v>
      </c>
      <c r="B101" s="214">
        <v>2131</v>
      </c>
      <c r="C101" s="246">
        <f>'ІІ. Розр. з бюджетом'!C36</f>
        <v>0</v>
      </c>
      <c r="D101" s="246">
        <f>'ІІ. Розр. з бюджетом'!D36</f>
        <v>0</v>
      </c>
      <c r="E101" s="246">
        <f>'ІІ. Розр. з бюджетом'!E36</f>
        <v>0</v>
      </c>
      <c r="F101" s="246">
        <f>'ІІ. Розр. з бюджетом'!F36</f>
        <v>0</v>
      </c>
      <c r="G101" s="247">
        <f t="shared" si="4"/>
        <v>0</v>
      </c>
      <c r="H101" s="212" t="e">
        <f t="shared" si="3"/>
        <v>#DIV/0!</v>
      </c>
    </row>
    <row r="102" spans="1:8" s="59" customFormat="1" ht="22.5" customHeight="1">
      <c r="A102" s="245" t="s">
        <v>118</v>
      </c>
      <c r="B102" s="214">
        <v>2133</v>
      </c>
      <c r="C102" s="246">
        <f>'ІІ. Розр. з бюджетом'!C38</f>
        <v>1227.6</v>
      </c>
      <c r="D102" s="246">
        <f>'ІІ. Розр. з бюджетом'!D38</f>
        <v>1851.9</v>
      </c>
      <c r="E102" s="246">
        <f>'ІІ. Розр. з бюджетом'!E38</f>
        <v>1000</v>
      </c>
      <c r="F102" s="246">
        <f>'ІІ. Розр. з бюджетом'!F38</f>
        <v>1051.2</v>
      </c>
      <c r="G102" s="247">
        <f t="shared" si="4"/>
        <v>51.200000000000045</v>
      </c>
      <c r="H102" s="212">
        <f t="shared" si="3"/>
        <v>105.12000000000002</v>
      </c>
    </row>
    <row r="103" spans="1:8" s="59" customFormat="1" ht="22.5" customHeight="1">
      <c r="A103" s="223" t="s">
        <v>119</v>
      </c>
      <c r="B103" s="214">
        <v>2200</v>
      </c>
      <c r="C103" s="243">
        <f>'ІІ. Розр. з бюджетом'!C43</f>
        <v>2360.7</v>
      </c>
      <c r="D103" s="243">
        <f>'ІІ. Розр. з бюджетом'!D43</f>
        <v>3613.9</v>
      </c>
      <c r="E103" s="243">
        <f>'ІІ. Розр. з бюджетом'!E43</f>
        <v>1950</v>
      </c>
      <c r="F103" s="243">
        <f>'ІІ. Розр. з бюджетом'!F43</f>
        <v>2043.3</v>
      </c>
      <c r="G103" s="244"/>
      <c r="H103" s="219">
        <f t="shared" si="3"/>
        <v>104.78461538461539</v>
      </c>
    </row>
    <row r="104" spans="1:8" s="59" customFormat="1" ht="22.5" customHeight="1">
      <c r="A104" s="331" t="s">
        <v>120</v>
      </c>
      <c r="B104" s="332"/>
      <c r="C104" s="332"/>
      <c r="D104" s="332"/>
      <c r="E104" s="332"/>
      <c r="F104" s="332"/>
      <c r="G104" s="332"/>
      <c r="H104" s="333"/>
    </row>
    <row r="105" spans="1:8" s="59" customFormat="1" ht="22.5" customHeight="1">
      <c r="A105" s="248" t="s">
        <v>121</v>
      </c>
      <c r="B105" s="220">
        <v>3405</v>
      </c>
      <c r="C105" s="243">
        <f>'ІІІ. Рух грош. коштів'!C80</f>
        <v>5904</v>
      </c>
      <c r="D105" s="243">
        <f>'ІІІ. Рух грош. коштів'!D80</f>
        <v>8319.5</v>
      </c>
      <c r="E105" s="243">
        <f>'ІІІ. Рух грош. коштів'!E80</f>
        <v>0</v>
      </c>
      <c r="F105" s="243">
        <f>'ІІІ. Рух грош. коштів'!F80</f>
        <v>9020.5</v>
      </c>
      <c r="G105" s="244">
        <f aca="true" t="shared" si="5" ref="G105:G111">F105-E105</f>
        <v>9020.5</v>
      </c>
      <c r="H105" s="219" t="e">
        <f t="shared" si="3"/>
        <v>#DIV/0!</v>
      </c>
    </row>
    <row r="106" spans="1:8" s="59" customFormat="1" ht="22.5" customHeight="1">
      <c r="A106" s="245" t="s">
        <v>122</v>
      </c>
      <c r="B106" s="249">
        <v>3030</v>
      </c>
      <c r="C106" s="246">
        <f>'ІІІ. Рух грош. коштів'!C11</f>
        <v>1004.2</v>
      </c>
      <c r="D106" s="246">
        <f>'ІІІ. Рух грош. коштів'!D11</f>
        <v>2009.6</v>
      </c>
      <c r="E106" s="246">
        <f>'ІІІ. Рух грош. коштів'!E11</f>
        <v>50</v>
      </c>
      <c r="F106" s="246">
        <f>'ІІІ. Рух грош. коштів'!F11</f>
        <v>1361.5</v>
      </c>
      <c r="G106" s="244"/>
      <c r="H106" s="212">
        <f t="shared" si="3"/>
        <v>2723</v>
      </c>
    </row>
    <row r="107" spans="1:8" s="59" customFormat="1" ht="22.5" customHeight="1">
      <c r="A107" s="245" t="s">
        <v>123</v>
      </c>
      <c r="B107" s="249">
        <v>3195</v>
      </c>
      <c r="C107" s="246">
        <f>'ІІІ. Рух грош. коштів'!C48</f>
        <v>1508.9000000000015</v>
      </c>
      <c r="D107" s="246">
        <f>'ІІІ. Рух грош. коштів'!D48</f>
        <v>-764.7999999999975</v>
      </c>
      <c r="E107" s="246">
        <f>'ІІІ. Рух грош. коштів'!E48</f>
        <v>0</v>
      </c>
      <c r="F107" s="246">
        <f>'ІІІ. Рух грош. коштів'!F48</f>
        <v>-1465.7999999999993</v>
      </c>
      <c r="G107" s="247">
        <f t="shared" si="5"/>
        <v>-1465.7999999999993</v>
      </c>
      <c r="H107" s="212" t="e">
        <f t="shared" si="3"/>
        <v>#DIV/0!</v>
      </c>
    </row>
    <row r="108" spans="1:8" ht="22.5" customHeight="1">
      <c r="A108" s="245" t="s">
        <v>124</v>
      </c>
      <c r="B108" s="249">
        <v>3295</v>
      </c>
      <c r="C108" s="210">
        <f>'ІІІ. Рух грош. коштів'!C61</f>
        <v>0</v>
      </c>
      <c r="D108" s="246">
        <f>'ІІІ. Рух грош. коштів'!D61</f>
        <v>0</v>
      </c>
      <c r="E108" s="246">
        <f>'ІІІ. Рух грош. коштів'!E61</f>
        <v>0</v>
      </c>
      <c r="F108" s="246">
        <f>'ІІІ. Рух грош. коштів'!F61</f>
        <v>0</v>
      </c>
      <c r="G108" s="247">
        <f t="shared" si="5"/>
        <v>0</v>
      </c>
      <c r="H108" s="212" t="e">
        <f t="shared" si="3"/>
        <v>#DIV/0!</v>
      </c>
    </row>
    <row r="109" spans="1:8" s="59" customFormat="1" ht="22.5" customHeight="1">
      <c r="A109" s="245" t="s">
        <v>125</v>
      </c>
      <c r="B109" s="220">
        <v>3395</v>
      </c>
      <c r="C109" s="246">
        <f>'ІІІ. Рух грош. коштів'!C78</f>
        <v>0</v>
      </c>
      <c r="D109" s="246">
        <f>'ІІІ. Рух грош. коштів'!D78</f>
        <v>0</v>
      </c>
      <c r="E109" s="246">
        <f>'ІІІ. Рух грош. коштів'!E78</f>
        <v>0</v>
      </c>
      <c r="F109" s="246">
        <f>'ІІІ. Рух грош. коштів'!F78</f>
        <v>0</v>
      </c>
      <c r="G109" s="247">
        <f t="shared" si="5"/>
        <v>0</v>
      </c>
      <c r="H109" s="212" t="e">
        <f t="shared" si="3"/>
        <v>#DIV/0!</v>
      </c>
    </row>
    <row r="110" spans="1:8" s="59" customFormat="1" ht="22.5" customHeight="1">
      <c r="A110" s="245" t="s">
        <v>126</v>
      </c>
      <c r="B110" s="220">
        <v>3410</v>
      </c>
      <c r="C110" s="246">
        <f>'ІІІ. Рух грош. коштів'!C81</f>
        <v>0</v>
      </c>
      <c r="D110" s="246">
        <f>'ІІІ. Рух грош. коштів'!D81</f>
        <v>0</v>
      </c>
      <c r="E110" s="246">
        <f>'ІІІ. Рух грош. коштів'!E81</f>
        <v>0</v>
      </c>
      <c r="F110" s="246">
        <f>'ІІІ. Рух грош. коштів'!F81</f>
        <v>0</v>
      </c>
      <c r="G110" s="247">
        <f t="shared" si="5"/>
        <v>0</v>
      </c>
      <c r="H110" s="212" t="e">
        <f t="shared" si="3"/>
        <v>#DIV/0!</v>
      </c>
    </row>
    <row r="111" spans="1:8" s="59" customFormat="1" ht="22.5" customHeight="1">
      <c r="A111" s="250" t="s">
        <v>127</v>
      </c>
      <c r="B111" s="220">
        <v>3415</v>
      </c>
      <c r="C111" s="251">
        <f>SUM(C105,C107:C110)</f>
        <v>7412.9000000000015</v>
      </c>
      <c r="D111" s="251">
        <f>SUM(D105,D107:D110)</f>
        <v>7554.700000000003</v>
      </c>
      <c r="E111" s="251">
        <f>SUM(E105,E107:E110)</f>
        <v>0</v>
      </c>
      <c r="F111" s="251">
        <f>SUM(F105,F107:F110)</f>
        <v>7554.700000000001</v>
      </c>
      <c r="G111" s="244">
        <f t="shared" si="5"/>
        <v>7554.700000000001</v>
      </c>
      <c r="H111" s="219" t="e">
        <f t="shared" si="3"/>
        <v>#DIV/0!</v>
      </c>
    </row>
    <row r="112" spans="1:8" s="59" customFormat="1" ht="22.5" customHeight="1">
      <c r="A112" s="340" t="s">
        <v>128</v>
      </c>
      <c r="B112" s="341"/>
      <c r="C112" s="341"/>
      <c r="D112" s="341"/>
      <c r="E112" s="341"/>
      <c r="F112" s="341"/>
      <c r="G112" s="341"/>
      <c r="H112" s="342"/>
    </row>
    <row r="113" spans="1:8" s="59" customFormat="1" ht="22.5" customHeight="1">
      <c r="A113" s="248" t="s">
        <v>129</v>
      </c>
      <c r="B113" s="252">
        <v>4000</v>
      </c>
      <c r="C113" s="253">
        <f>SUM(C114:C119)</f>
        <v>1054.8000000000002</v>
      </c>
      <c r="D113" s="253">
        <f>SUM(D114:D119)</f>
        <v>480.3</v>
      </c>
      <c r="E113" s="253">
        <f>SUM(E114:E119)</f>
        <v>100</v>
      </c>
      <c r="F113" s="253">
        <f>SUM(F114:F119)</f>
        <v>457.6</v>
      </c>
      <c r="G113" s="254">
        <f aca="true" t="shared" si="6" ref="G113:G124">F113-E113</f>
        <v>357.6</v>
      </c>
      <c r="H113" s="219">
        <f t="shared" si="3"/>
        <v>457.6</v>
      </c>
    </row>
    <row r="114" spans="1:8" s="59" customFormat="1" ht="22.5" customHeight="1">
      <c r="A114" s="61" t="s">
        <v>130</v>
      </c>
      <c r="B114" s="105" t="s">
        <v>131</v>
      </c>
      <c r="C114" s="210">
        <f>'IV. Кап. інвестиції'!C7</f>
        <v>0</v>
      </c>
      <c r="D114" s="210">
        <f>'IV. Кап. інвестиції'!D7</f>
        <v>0</v>
      </c>
      <c r="E114" s="210">
        <f>'IV. Кап. інвестиції'!E7</f>
        <v>0</v>
      </c>
      <c r="F114" s="210">
        <f>'IV. Кап. інвестиції'!F7</f>
        <v>0</v>
      </c>
      <c r="G114" s="240">
        <f t="shared" si="6"/>
        <v>0</v>
      </c>
      <c r="H114" s="212" t="e">
        <f t="shared" si="3"/>
        <v>#DIV/0!</v>
      </c>
    </row>
    <row r="115" spans="1:8" s="59" customFormat="1" ht="22.5" customHeight="1">
      <c r="A115" s="61" t="s">
        <v>132</v>
      </c>
      <c r="B115" s="105">
        <v>4020</v>
      </c>
      <c r="C115" s="210">
        <f>'IV. Кап. інвестиції'!C8</f>
        <v>598.7</v>
      </c>
      <c r="D115" s="210">
        <f>'IV. Кап. інвестиції'!D8</f>
        <v>114.5</v>
      </c>
      <c r="E115" s="210">
        <f>'IV. Кап. інвестиції'!E8</f>
        <v>100</v>
      </c>
      <c r="F115" s="210">
        <f>'IV. Кап. інвестиції'!F8</f>
        <v>114.5</v>
      </c>
      <c r="G115" s="240">
        <f t="shared" si="6"/>
        <v>14.5</v>
      </c>
      <c r="H115" s="212">
        <f t="shared" si="3"/>
        <v>114.5</v>
      </c>
    </row>
    <row r="116" spans="1:8" s="59" customFormat="1" ht="22.5" customHeight="1">
      <c r="A116" s="61" t="s">
        <v>133</v>
      </c>
      <c r="B116" s="105">
        <v>4030</v>
      </c>
      <c r="C116" s="210">
        <f>'IV. Кап. інвестиції'!C9</f>
        <v>456.1</v>
      </c>
      <c r="D116" s="210">
        <f>'IV. Кап. інвестиції'!D9</f>
        <v>365.8</v>
      </c>
      <c r="E116" s="210">
        <f>'IV. Кап. інвестиції'!E9</f>
        <v>0</v>
      </c>
      <c r="F116" s="210">
        <f>'IV. Кап. інвестиції'!F9</f>
        <v>343.1</v>
      </c>
      <c r="G116" s="240">
        <f t="shared" si="6"/>
        <v>343.1</v>
      </c>
      <c r="H116" s="212" t="e">
        <f t="shared" si="3"/>
        <v>#DIV/0!</v>
      </c>
    </row>
    <row r="117" spans="1:8" s="59" customFormat="1" ht="22.5" customHeight="1">
      <c r="A117" s="61" t="s">
        <v>134</v>
      </c>
      <c r="B117" s="105">
        <v>4040</v>
      </c>
      <c r="C117" s="210">
        <f>'IV. Кап. інвестиції'!C10</f>
        <v>0</v>
      </c>
      <c r="D117" s="210">
        <v>0</v>
      </c>
      <c r="E117" s="210">
        <f>'IV. Кап. інвестиції'!E10</f>
        <v>0</v>
      </c>
      <c r="F117" s="210">
        <f>'IV. Кап. інвестиції'!F10</f>
        <v>0</v>
      </c>
      <c r="G117" s="240">
        <f t="shared" si="6"/>
        <v>0</v>
      </c>
      <c r="H117" s="212" t="e">
        <f t="shared" si="3"/>
        <v>#DIV/0!</v>
      </c>
    </row>
    <row r="118" spans="1:8" s="59" customFormat="1" ht="39.75" customHeight="1">
      <c r="A118" s="61" t="s">
        <v>135</v>
      </c>
      <c r="B118" s="105">
        <v>4050</v>
      </c>
      <c r="C118" s="210">
        <f>'IV. Кап. інвестиції'!C11</f>
        <v>0</v>
      </c>
      <c r="D118" s="210">
        <f>'IV. Кап. інвестиції'!D11</f>
        <v>0</v>
      </c>
      <c r="E118" s="210">
        <f>'IV. Кап. інвестиції'!E11</f>
        <v>0</v>
      </c>
      <c r="F118" s="210">
        <f>'IV. Кап. інвестиції'!F11</f>
        <v>0</v>
      </c>
      <c r="G118" s="240"/>
      <c r="H118" s="212" t="e">
        <f t="shared" si="3"/>
        <v>#DIV/0!</v>
      </c>
    </row>
    <row r="119" spans="1:8" s="59" customFormat="1" ht="22.5" customHeight="1">
      <c r="A119" s="61" t="s">
        <v>136</v>
      </c>
      <c r="B119" s="105">
        <v>4060</v>
      </c>
      <c r="C119" s="210">
        <f>'IV. Кап. інвестиції'!C12</f>
        <v>0</v>
      </c>
      <c r="D119" s="210">
        <f>'IV. Кап. інвестиції'!D12</f>
        <v>0</v>
      </c>
      <c r="E119" s="210">
        <f>'IV. Кап. інвестиції'!E12</f>
        <v>0</v>
      </c>
      <c r="F119" s="210">
        <f>'IV. Кап. інвестиції'!F12</f>
        <v>0</v>
      </c>
      <c r="G119" s="240">
        <f t="shared" si="6"/>
        <v>0</v>
      </c>
      <c r="H119" s="212" t="e">
        <f t="shared" si="3"/>
        <v>#DIV/0!</v>
      </c>
    </row>
    <row r="120" spans="1:8" s="59" customFormat="1" ht="22.5" customHeight="1">
      <c r="A120" s="223" t="s">
        <v>137</v>
      </c>
      <c r="B120" s="252">
        <v>4000</v>
      </c>
      <c r="C120" s="217">
        <f>SUM(C121:C124)</f>
        <v>1054.8</v>
      </c>
      <c r="D120" s="217">
        <f>SUM(D121:D124)</f>
        <v>457.6</v>
      </c>
      <c r="E120" s="217">
        <f>SUM(E121:E124)</f>
        <v>100</v>
      </c>
      <c r="F120" s="217">
        <f>SUM(F121:F124)</f>
        <v>457.6</v>
      </c>
      <c r="G120" s="254">
        <f t="shared" si="6"/>
        <v>357.6</v>
      </c>
      <c r="H120" s="219">
        <f t="shared" si="3"/>
        <v>457.6</v>
      </c>
    </row>
    <row r="121" spans="1:8" s="59" customFormat="1" ht="22.5" customHeight="1">
      <c r="A121" s="235" t="s">
        <v>138</v>
      </c>
      <c r="B121" s="252" t="s">
        <v>139</v>
      </c>
      <c r="C121" s="255"/>
      <c r="D121" s="255">
        <v>0</v>
      </c>
      <c r="E121" s="210">
        <f>'6.2. Інша інфо_2'!M36</f>
        <v>0</v>
      </c>
      <c r="F121" s="210">
        <f>'6.2. Інша інфо_2'!N36</f>
        <v>0</v>
      </c>
      <c r="G121" s="240">
        <f t="shared" si="6"/>
        <v>0</v>
      </c>
      <c r="H121" s="212" t="e">
        <f t="shared" si="3"/>
        <v>#DIV/0!</v>
      </c>
    </row>
    <row r="122" spans="1:8" s="59" customFormat="1" ht="19.5" customHeight="1">
      <c r="A122" s="235" t="s">
        <v>140</v>
      </c>
      <c r="B122" s="252" t="s">
        <v>141</v>
      </c>
      <c r="C122" s="255"/>
      <c r="D122" s="255">
        <v>0</v>
      </c>
      <c r="E122" s="210">
        <f>'6.2. Інша інфо_2'!Q36</f>
        <v>0</v>
      </c>
      <c r="F122" s="210">
        <f>'6.2. Інша інфо_2'!R36</f>
        <v>0</v>
      </c>
      <c r="G122" s="240">
        <f t="shared" si="6"/>
        <v>0</v>
      </c>
      <c r="H122" s="212" t="e">
        <f t="shared" si="3"/>
        <v>#DIV/0!</v>
      </c>
    </row>
    <row r="123" spans="1:8" s="59" customFormat="1" ht="22.5" customHeight="1">
      <c r="A123" s="235" t="s">
        <v>142</v>
      </c>
      <c r="B123" s="252" t="s">
        <v>143</v>
      </c>
      <c r="C123" s="255">
        <v>1043</v>
      </c>
      <c r="D123" s="255">
        <f>'6.2. Інша інфо_2'!V32</f>
        <v>457.6</v>
      </c>
      <c r="E123" s="210">
        <f>'6.2. Інша інфо_2'!U36</f>
        <v>100</v>
      </c>
      <c r="F123" s="210">
        <f>'6.2. Інша інфо_2'!V36</f>
        <v>457.6</v>
      </c>
      <c r="G123" s="240">
        <f t="shared" si="6"/>
        <v>357.6</v>
      </c>
      <c r="H123" s="212">
        <f t="shared" si="3"/>
        <v>457.6</v>
      </c>
    </row>
    <row r="124" spans="1:8" s="59" customFormat="1" ht="22.5" customHeight="1">
      <c r="A124" s="256" t="s">
        <v>144</v>
      </c>
      <c r="B124" s="257" t="s">
        <v>145</v>
      </c>
      <c r="C124" s="258">
        <v>11.8</v>
      </c>
      <c r="D124" s="258">
        <f>'6.2. Інша інфо_2'!Z32</f>
        <v>0</v>
      </c>
      <c r="E124" s="259">
        <f>'6.2. Інша інфо_2'!Y36</f>
        <v>0</v>
      </c>
      <c r="F124" s="259">
        <f>'6.2. Інша інфо_2'!Z36</f>
        <v>0</v>
      </c>
      <c r="G124" s="259">
        <f t="shared" si="6"/>
        <v>0</v>
      </c>
      <c r="H124" s="260" t="e">
        <f t="shared" si="3"/>
        <v>#DIV/0!</v>
      </c>
    </row>
    <row r="125" spans="1:8" s="59" customFormat="1" ht="15.75" customHeight="1">
      <c r="A125" s="346" t="s">
        <v>146</v>
      </c>
      <c r="B125" s="347"/>
      <c r="C125" s="347"/>
      <c r="D125" s="347"/>
      <c r="E125" s="347"/>
      <c r="F125" s="347"/>
      <c r="G125" s="347"/>
      <c r="H125" s="348"/>
    </row>
    <row r="126" spans="1:8" s="59" customFormat="1" ht="21.75" customHeight="1">
      <c r="A126" s="261" t="s">
        <v>147</v>
      </c>
      <c r="B126" s="234">
        <v>5040</v>
      </c>
      <c r="C126" s="262">
        <f>(C62/C30)*100</f>
        <v>20.92508393636389</v>
      </c>
      <c r="D126" s="262">
        <f>(D62/D30)*100</f>
        <v>-3.6360913266324735</v>
      </c>
      <c r="E126" s="262">
        <f>(E62/E30)*100</f>
        <v>0</v>
      </c>
      <c r="F126" s="262">
        <f>(F62/F30)*100</f>
        <v>-24.521801309866248</v>
      </c>
      <c r="G126" s="263">
        <f>F126-E126</f>
        <v>-24.521801309866248</v>
      </c>
      <c r="H126" s="212" t="e">
        <f t="shared" si="3"/>
        <v>#DIV/0!</v>
      </c>
    </row>
    <row r="127" spans="1:8" s="59" customFormat="1" ht="21.75" customHeight="1">
      <c r="A127" s="261" t="s">
        <v>148</v>
      </c>
      <c r="B127" s="234">
        <v>5020</v>
      </c>
      <c r="C127" s="264">
        <f>(C62/C138)*100</f>
        <v>23.173561087302314</v>
      </c>
      <c r="D127" s="265">
        <f>(D62/D138)*100</f>
        <v>-2.646928775204863</v>
      </c>
      <c r="E127" s="266" t="e">
        <f>(E62/E138)*100</f>
        <v>#DIV/0!</v>
      </c>
      <c r="F127" s="266" t="e">
        <f>(F62/F138)*100</f>
        <v>#VALUE!</v>
      </c>
      <c r="G127" s="267" t="e">
        <f>F127-E127</f>
        <v>#VALUE!</v>
      </c>
      <c r="H127" s="212" t="e">
        <f t="shared" si="3"/>
        <v>#VALUE!</v>
      </c>
    </row>
    <row r="128" spans="1:8" s="59" customFormat="1" ht="21.75" customHeight="1">
      <c r="A128" s="245" t="s">
        <v>149</v>
      </c>
      <c r="B128" s="220">
        <v>5030</v>
      </c>
      <c r="C128" s="268">
        <f>(C62/C144)*100</f>
        <v>24.546322827125124</v>
      </c>
      <c r="D128" s="269">
        <f>(D62/D144)*100</f>
        <v>-3.0701353810269656</v>
      </c>
      <c r="E128" s="267" t="e">
        <f>(E62/E144)*100</f>
        <v>#DIV/0!</v>
      </c>
      <c r="F128" s="267" t="e">
        <f>(F62/F144)*100</f>
        <v>#VALUE!</v>
      </c>
      <c r="G128" s="267" t="e">
        <f>F128-E128</f>
        <v>#VALUE!</v>
      </c>
      <c r="H128" s="212" t="e">
        <f t="shared" si="3"/>
        <v>#VALUE!</v>
      </c>
    </row>
    <row r="129" spans="1:8" s="59" customFormat="1" ht="21.75" customHeight="1">
      <c r="A129" s="270" t="s">
        <v>150</v>
      </c>
      <c r="B129" s="249">
        <v>5110</v>
      </c>
      <c r="C129" s="271">
        <f>C144/C141</f>
        <v>16.85959833544418</v>
      </c>
      <c r="D129" s="272">
        <f>D144/D141</f>
        <v>6.254459970120398</v>
      </c>
      <c r="E129" s="273" t="e">
        <f>E144/E141</f>
        <v>#DIV/0!</v>
      </c>
      <c r="F129" s="273" t="e">
        <f>F144/F141</f>
        <v>#VALUE!</v>
      </c>
      <c r="G129" s="267" t="e">
        <f>F129-E129</f>
        <v>#VALUE!</v>
      </c>
      <c r="H129" s="212" t="e">
        <f t="shared" si="3"/>
        <v>#VALUE!</v>
      </c>
    </row>
    <row r="130" spans="1:8" s="59" customFormat="1" ht="21.75" customHeight="1">
      <c r="A130" s="274" t="s">
        <v>151</v>
      </c>
      <c r="B130" s="275">
        <v>5220</v>
      </c>
      <c r="C130" s="276">
        <f>C135/C134</f>
        <v>0.5130058736203447</v>
      </c>
      <c r="D130" s="277">
        <f>D135/D134</f>
        <v>0.5344731489457188</v>
      </c>
      <c r="E130" s="278" t="e">
        <f>E135/E134</f>
        <v>#DIV/0!</v>
      </c>
      <c r="F130" s="278" t="e">
        <f>F135/F134</f>
        <v>#VALUE!</v>
      </c>
      <c r="G130" s="278" t="e">
        <f>F130-E130</f>
        <v>#VALUE!</v>
      </c>
      <c r="H130" s="260" t="e">
        <f t="shared" si="3"/>
        <v>#VALUE!</v>
      </c>
    </row>
    <row r="131" spans="1:8" s="59" customFormat="1" ht="24.75" customHeight="1">
      <c r="A131" s="331" t="s">
        <v>152</v>
      </c>
      <c r="B131" s="332"/>
      <c r="C131" s="332"/>
      <c r="D131" s="332"/>
      <c r="E131" s="332"/>
      <c r="F131" s="332"/>
      <c r="G131" s="332"/>
      <c r="H131" s="333"/>
    </row>
    <row r="132" spans="1:8" s="59" customFormat="1" ht="24.75" customHeight="1">
      <c r="A132" s="261" t="s">
        <v>153</v>
      </c>
      <c r="B132" s="234">
        <v>6000</v>
      </c>
      <c r="C132" s="279">
        <v>1510.9</v>
      </c>
      <c r="D132" s="255">
        <f>D133+117.4</f>
        <v>6548.7</v>
      </c>
      <c r="E132" s="280"/>
      <c r="F132" s="281" t="s">
        <v>154</v>
      </c>
      <c r="G132" s="240">
        <f>D132-C132</f>
        <v>5037.799999999999</v>
      </c>
      <c r="H132" s="212">
        <f>(D132/C132)*100</f>
        <v>433.4304057184459</v>
      </c>
    </row>
    <row r="133" spans="1:8" s="59" customFormat="1" ht="24.75" customHeight="1">
      <c r="A133" s="261" t="s">
        <v>506</v>
      </c>
      <c r="B133" s="234">
        <v>6001</v>
      </c>
      <c r="C133" s="282">
        <f>C134-C135</f>
        <v>1509</v>
      </c>
      <c r="D133" s="283">
        <f>D134-D135</f>
        <v>6431.3</v>
      </c>
      <c r="E133" s="284">
        <f>E134-E135</f>
        <v>0</v>
      </c>
      <c r="F133" s="281" t="s">
        <v>154</v>
      </c>
      <c r="G133" s="240">
        <f aca="true" t="shared" si="7" ref="G133:G144">D133-C133</f>
        <v>4922.3</v>
      </c>
      <c r="H133" s="212">
        <f aca="true" t="shared" si="8" ref="H133:H144">(D133/C133)*100</f>
        <v>426.19615639496357</v>
      </c>
    </row>
    <row r="134" spans="1:8" s="59" customFormat="1" ht="24.75" customHeight="1">
      <c r="A134" s="261" t="s">
        <v>507</v>
      </c>
      <c r="B134" s="234">
        <v>6002</v>
      </c>
      <c r="C134" s="279">
        <v>3098.6</v>
      </c>
      <c r="D134" s="255">
        <v>13815.1</v>
      </c>
      <c r="E134" s="280"/>
      <c r="F134" s="281" t="s">
        <v>154</v>
      </c>
      <c r="G134" s="240">
        <f t="shared" si="7"/>
        <v>10716.5</v>
      </c>
      <c r="H134" s="212">
        <f t="shared" si="8"/>
        <v>445.84973859162204</v>
      </c>
    </row>
    <row r="135" spans="1:8" s="59" customFormat="1" ht="24.75" customHeight="1">
      <c r="A135" s="261" t="s">
        <v>508</v>
      </c>
      <c r="B135" s="234">
        <v>6003</v>
      </c>
      <c r="C135" s="279">
        <v>1589.6</v>
      </c>
      <c r="D135" s="255">
        <v>7383.8</v>
      </c>
      <c r="E135" s="280"/>
      <c r="F135" s="281" t="s">
        <v>154</v>
      </c>
      <c r="G135" s="240">
        <f t="shared" si="7"/>
        <v>5794.200000000001</v>
      </c>
      <c r="H135" s="212">
        <f t="shared" si="8"/>
        <v>464.5067941620534</v>
      </c>
    </row>
    <row r="136" spans="1:8" s="59" customFormat="1" ht="24.75" customHeight="1">
      <c r="A136" s="245" t="s">
        <v>155</v>
      </c>
      <c r="B136" s="220">
        <v>6010</v>
      </c>
      <c r="C136" s="279">
        <v>8361.3</v>
      </c>
      <c r="D136" s="255">
        <v>9961</v>
      </c>
      <c r="E136" s="280"/>
      <c r="F136" s="281" t="s">
        <v>154</v>
      </c>
      <c r="G136" s="240">
        <f t="shared" si="7"/>
        <v>1599.7000000000007</v>
      </c>
      <c r="H136" s="212">
        <f t="shared" si="8"/>
        <v>119.13219236243168</v>
      </c>
    </row>
    <row r="137" spans="1:8" s="59" customFormat="1" ht="24.75" customHeight="1">
      <c r="A137" s="245" t="s">
        <v>156</v>
      </c>
      <c r="B137" s="220">
        <v>6011</v>
      </c>
      <c r="C137" s="279">
        <v>7412.9</v>
      </c>
      <c r="D137" s="255">
        <v>7554.7</v>
      </c>
      <c r="E137" s="280"/>
      <c r="F137" s="281" t="s">
        <v>154</v>
      </c>
      <c r="G137" s="240">
        <f t="shared" si="7"/>
        <v>141.80000000000018</v>
      </c>
      <c r="H137" s="212">
        <f t="shared" si="8"/>
        <v>101.91288159829486</v>
      </c>
    </row>
    <row r="138" spans="1:8" s="59" customFormat="1" ht="24.75" customHeight="1">
      <c r="A138" s="223" t="s">
        <v>157</v>
      </c>
      <c r="B138" s="220">
        <v>6020</v>
      </c>
      <c r="C138" s="285">
        <v>9870.3</v>
      </c>
      <c r="D138" s="286">
        <f>SUM(D132+D136)</f>
        <v>16509.7</v>
      </c>
      <c r="E138" s="287"/>
      <c r="F138" s="281" t="s">
        <v>154</v>
      </c>
      <c r="G138" s="254">
        <f t="shared" si="7"/>
        <v>6639.4000000000015</v>
      </c>
      <c r="H138" s="219">
        <f t="shared" si="8"/>
        <v>167.26644580205263</v>
      </c>
    </row>
    <row r="139" spans="1:8" s="59" customFormat="1" ht="24.75" customHeight="1">
      <c r="A139" s="245" t="s">
        <v>158</v>
      </c>
      <c r="B139" s="220">
        <v>6030</v>
      </c>
      <c r="C139" s="279">
        <v>552</v>
      </c>
      <c r="D139" s="288">
        <v>2090.6</v>
      </c>
      <c r="E139" s="280"/>
      <c r="F139" s="281" t="s">
        <v>154</v>
      </c>
      <c r="G139" s="240">
        <f t="shared" si="7"/>
        <v>1538.6</v>
      </c>
      <c r="H139" s="212">
        <f t="shared" si="8"/>
        <v>378.731884057971</v>
      </c>
    </row>
    <row r="140" spans="1:8" s="59" customFormat="1" ht="24.75" customHeight="1">
      <c r="A140" s="245" t="s">
        <v>159</v>
      </c>
      <c r="B140" s="220">
        <v>6040</v>
      </c>
      <c r="C140" s="279">
        <v>0.7</v>
      </c>
      <c r="D140" s="288">
        <v>185.2</v>
      </c>
      <c r="E140" s="280"/>
      <c r="F140" s="281" t="s">
        <v>154</v>
      </c>
      <c r="G140" s="240">
        <f t="shared" si="7"/>
        <v>184.5</v>
      </c>
      <c r="H140" s="212">
        <f t="shared" si="8"/>
        <v>26457.142857142855</v>
      </c>
    </row>
    <row r="141" spans="1:8" s="59" customFormat="1" ht="24.75" customHeight="1">
      <c r="A141" s="223" t="s">
        <v>160</v>
      </c>
      <c r="B141" s="220">
        <v>6050</v>
      </c>
      <c r="C141" s="289">
        <f>SUM(C139:C140)</f>
        <v>552.7</v>
      </c>
      <c r="D141" s="106">
        <f>SUM(D139:D140)</f>
        <v>2275.7999999999997</v>
      </c>
      <c r="E141" s="290">
        <f>SUM(E139:E140)</f>
        <v>0</v>
      </c>
      <c r="F141" s="281" t="s">
        <v>154</v>
      </c>
      <c r="G141" s="254">
        <f t="shared" si="7"/>
        <v>1723.0999999999997</v>
      </c>
      <c r="H141" s="219">
        <f t="shared" si="8"/>
        <v>411.7604487063506</v>
      </c>
    </row>
    <row r="142" spans="1:8" s="59" customFormat="1" ht="24.75" customHeight="1">
      <c r="A142" s="245" t="s">
        <v>161</v>
      </c>
      <c r="B142" s="220">
        <v>6060</v>
      </c>
      <c r="C142" s="279">
        <v>0</v>
      </c>
      <c r="D142" s="255">
        <v>0</v>
      </c>
      <c r="E142" s="280"/>
      <c r="F142" s="281" t="s">
        <v>154</v>
      </c>
      <c r="G142" s="240">
        <f t="shared" si="7"/>
        <v>0</v>
      </c>
      <c r="H142" s="212" t="e">
        <f t="shared" si="8"/>
        <v>#DIV/0!</v>
      </c>
    </row>
    <row r="143" spans="1:8" s="59" customFormat="1" ht="24.75" customHeight="1">
      <c r="A143" s="245" t="s">
        <v>162</v>
      </c>
      <c r="B143" s="220">
        <v>6070</v>
      </c>
      <c r="C143" s="279">
        <v>0</v>
      </c>
      <c r="D143" s="291">
        <v>0</v>
      </c>
      <c r="E143" s="280"/>
      <c r="F143" s="281" t="s">
        <v>154</v>
      </c>
      <c r="G143" s="240">
        <f t="shared" si="7"/>
        <v>0</v>
      </c>
      <c r="H143" s="212" t="e">
        <f t="shared" si="8"/>
        <v>#DIV/0!</v>
      </c>
    </row>
    <row r="144" spans="1:8" s="59" customFormat="1" ht="24.75" customHeight="1">
      <c r="A144" s="223" t="s">
        <v>163</v>
      </c>
      <c r="B144" s="220">
        <v>6080</v>
      </c>
      <c r="C144" s="285">
        <v>9318.3</v>
      </c>
      <c r="D144" s="286">
        <v>14233.9</v>
      </c>
      <c r="E144" s="287"/>
      <c r="F144" s="281" t="s">
        <v>154</v>
      </c>
      <c r="G144" s="254">
        <f t="shared" si="7"/>
        <v>4915.6</v>
      </c>
      <c r="H144" s="219">
        <f t="shared" si="8"/>
        <v>152.75211143663546</v>
      </c>
    </row>
    <row r="145" spans="1:8" s="59" customFormat="1" ht="24.75" customHeight="1">
      <c r="A145" s="340" t="s">
        <v>164</v>
      </c>
      <c r="B145" s="341"/>
      <c r="C145" s="341"/>
      <c r="D145" s="341"/>
      <c r="E145" s="341"/>
      <c r="F145" s="341"/>
      <c r="G145" s="341"/>
      <c r="H145" s="342"/>
    </row>
    <row r="146" spans="1:8" s="59" customFormat="1" ht="24.75" customHeight="1">
      <c r="A146" s="248" t="s">
        <v>165</v>
      </c>
      <c r="B146" s="292" t="s">
        <v>166</v>
      </c>
      <c r="C146" s="293">
        <f>SUM(C147:C149)</f>
        <v>0</v>
      </c>
      <c r="D146" s="293">
        <f>SUM(D147:D149)</f>
        <v>0</v>
      </c>
      <c r="E146" s="293">
        <f>SUM(E147:E149)</f>
        <v>0</v>
      </c>
      <c r="F146" s="293">
        <f>SUM(F147:F149)</f>
        <v>0</v>
      </c>
      <c r="G146" s="294">
        <f aca="true" t="shared" si="9" ref="G146:G153">F146-E146</f>
        <v>0</v>
      </c>
      <c r="H146" s="219" t="e">
        <f aca="true" t="shared" si="10" ref="H146:H156">(F146/E146)*100</f>
        <v>#DIV/0!</v>
      </c>
    </row>
    <row r="147" spans="1:8" s="59" customFormat="1" ht="24.75" customHeight="1">
      <c r="A147" s="245" t="s">
        <v>167</v>
      </c>
      <c r="B147" s="295" t="s">
        <v>168</v>
      </c>
      <c r="C147" s="296"/>
      <c r="D147" s="296"/>
      <c r="E147" s="226">
        <f>'6.1. Інша інфо_1'!F66</f>
        <v>0</v>
      </c>
      <c r="F147" s="226">
        <f>'6.1. Інша інфо_1'!H66</f>
        <v>0</v>
      </c>
      <c r="G147" s="221">
        <f t="shared" si="9"/>
        <v>0</v>
      </c>
      <c r="H147" s="212" t="e">
        <f t="shared" si="10"/>
        <v>#DIV/0!</v>
      </c>
    </row>
    <row r="148" spans="1:8" s="59" customFormat="1" ht="24.75" customHeight="1">
      <c r="A148" s="245" t="s">
        <v>169</v>
      </c>
      <c r="B148" s="295" t="s">
        <v>170</v>
      </c>
      <c r="C148" s="296"/>
      <c r="D148" s="296"/>
      <c r="E148" s="226">
        <f>'6.1. Інша інфо_1'!F69</f>
        <v>0</v>
      </c>
      <c r="F148" s="226">
        <f>'6.1. Інша інфо_1'!H69</f>
        <v>0</v>
      </c>
      <c r="G148" s="221">
        <f t="shared" si="9"/>
        <v>0</v>
      </c>
      <c r="H148" s="212" t="e">
        <f t="shared" si="10"/>
        <v>#DIV/0!</v>
      </c>
    </row>
    <row r="149" spans="1:8" s="59" customFormat="1" ht="24.75" customHeight="1">
      <c r="A149" s="245" t="s">
        <v>171</v>
      </c>
      <c r="B149" s="295" t="s">
        <v>172</v>
      </c>
      <c r="C149" s="296"/>
      <c r="D149" s="296"/>
      <c r="E149" s="226">
        <f>'6.1. Інша інфо_1'!F72</f>
        <v>0</v>
      </c>
      <c r="F149" s="226">
        <f>'6.1. Інша інфо_1'!H72</f>
        <v>0</v>
      </c>
      <c r="G149" s="221">
        <f t="shared" si="9"/>
        <v>0</v>
      </c>
      <c r="H149" s="212" t="e">
        <f t="shared" si="10"/>
        <v>#DIV/0!</v>
      </c>
    </row>
    <row r="150" spans="1:8" s="59" customFormat="1" ht="24.75" customHeight="1">
      <c r="A150" s="223" t="s">
        <v>173</v>
      </c>
      <c r="B150" s="295" t="s">
        <v>174</v>
      </c>
      <c r="C150" s="297">
        <f>SUM(C151:C153)</f>
        <v>0</v>
      </c>
      <c r="D150" s="297">
        <f>SUM(D151:D153)</f>
        <v>0</v>
      </c>
      <c r="E150" s="297">
        <f>SUM(E151:E153)</f>
        <v>0</v>
      </c>
      <c r="F150" s="297">
        <f>SUM(F151:F153)</f>
        <v>0</v>
      </c>
      <c r="G150" s="224">
        <f t="shared" si="9"/>
        <v>0</v>
      </c>
      <c r="H150" s="219" t="e">
        <f t="shared" si="10"/>
        <v>#DIV/0!</v>
      </c>
    </row>
    <row r="151" spans="1:8" s="59" customFormat="1" ht="24.75" customHeight="1">
      <c r="A151" s="245" t="s">
        <v>167</v>
      </c>
      <c r="B151" s="295" t="s">
        <v>175</v>
      </c>
      <c r="C151" s="296"/>
      <c r="D151" s="296"/>
      <c r="E151" s="226">
        <f>'6.1. Інша інфо_1'!J66</f>
        <v>0</v>
      </c>
      <c r="F151" s="226">
        <f>'6.1. Інша інфо_1'!L66</f>
        <v>0</v>
      </c>
      <c r="G151" s="221">
        <f t="shared" si="9"/>
        <v>0</v>
      </c>
      <c r="H151" s="212" t="e">
        <f t="shared" si="10"/>
        <v>#DIV/0!</v>
      </c>
    </row>
    <row r="152" spans="1:8" s="59" customFormat="1" ht="24.75" customHeight="1">
      <c r="A152" s="245" t="s">
        <v>169</v>
      </c>
      <c r="B152" s="295" t="s">
        <v>176</v>
      </c>
      <c r="C152" s="296"/>
      <c r="D152" s="296"/>
      <c r="E152" s="226">
        <f>'6.1. Інша інфо_1'!J69</f>
        <v>0</v>
      </c>
      <c r="F152" s="226">
        <f>'6.1. Інша інфо_1'!L69</f>
        <v>0</v>
      </c>
      <c r="G152" s="221">
        <f t="shared" si="9"/>
        <v>0</v>
      </c>
      <c r="H152" s="212" t="e">
        <f t="shared" si="10"/>
        <v>#DIV/0!</v>
      </c>
    </row>
    <row r="153" spans="1:8" s="59" customFormat="1" ht="24.75" customHeight="1">
      <c r="A153" s="270" t="s">
        <v>171</v>
      </c>
      <c r="B153" s="298" t="s">
        <v>177</v>
      </c>
      <c r="C153" s="296"/>
      <c r="D153" s="296"/>
      <c r="E153" s="226">
        <f>'6.1. Інша інфо_1'!J72</f>
        <v>0</v>
      </c>
      <c r="F153" s="226">
        <f>'6.1. Інша інфо_1'!L72</f>
        <v>0</v>
      </c>
      <c r="G153" s="221">
        <f t="shared" si="9"/>
        <v>0</v>
      </c>
      <c r="H153" s="212" t="e">
        <f t="shared" si="10"/>
        <v>#DIV/0!</v>
      </c>
    </row>
    <row r="154" spans="1:8" s="59" customFormat="1" ht="24.75" customHeight="1">
      <c r="A154" s="331" t="s">
        <v>178</v>
      </c>
      <c r="B154" s="332"/>
      <c r="C154" s="332"/>
      <c r="D154" s="332"/>
      <c r="E154" s="332"/>
      <c r="F154" s="332"/>
      <c r="G154" s="332"/>
      <c r="H154" s="333"/>
    </row>
    <row r="155" spans="1:8" s="59" customFormat="1" ht="36.75" customHeight="1">
      <c r="A155" s="223" t="s">
        <v>179</v>
      </c>
      <c r="B155" s="295" t="s">
        <v>180</v>
      </c>
      <c r="C155" s="217">
        <f>SUM(C156:C158)</f>
        <v>81</v>
      </c>
      <c r="D155" s="240" t="s">
        <v>154</v>
      </c>
      <c r="E155" s="217">
        <f>SUM(E156:E158)</f>
        <v>91</v>
      </c>
      <c r="F155" s="217">
        <f>SUM(F156:F158)</f>
        <v>109</v>
      </c>
      <c r="G155" s="254">
        <f>F155-E155</f>
        <v>18</v>
      </c>
      <c r="H155" s="299">
        <f t="shared" si="10"/>
        <v>119.78021978021978</v>
      </c>
    </row>
    <row r="156" spans="1:8" s="59" customFormat="1" ht="24.75" customHeight="1">
      <c r="A156" s="61" t="s">
        <v>181</v>
      </c>
      <c r="B156" s="295" t="s">
        <v>182</v>
      </c>
      <c r="C156" s="240">
        <f>'6.1. Інша інфо_1'!C12</f>
        <v>1</v>
      </c>
      <c r="D156" s="240" t="s">
        <v>154</v>
      </c>
      <c r="E156" s="240">
        <f>'6.1. Інша інфо_1'!F12</f>
        <v>1</v>
      </c>
      <c r="F156" s="240">
        <f>'6.1. Інша інфо_1'!I12</f>
        <v>1</v>
      </c>
      <c r="G156" s="240">
        <f>F156-E156</f>
        <v>0</v>
      </c>
      <c r="H156" s="241">
        <f t="shared" si="10"/>
        <v>100</v>
      </c>
    </row>
    <row r="157" spans="1:8" s="59" customFormat="1" ht="24.75" customHeight="1">
      <c r="A157" s="61" t="s">
        <v>183</v>
      </c>
      <c r="B157" s="295" t="s">
        <v>184</v>
      </c>
      <c r="C157" s="240">
        <f>'6.1. Інша інфо_1'!C13</f>
        <v>9</v>
      </c>
      <c r="D157" s="240" t="s">
        <v>154</v>
      </c>
      <c r="E157" s="240">
        <f>'6.1. Інша інфо_1'!F13</f>
        <v>12</v>
      </c>
      <c r="F157" s="240">
        <f>'6.1. Інша інфо_1'!I13</f>
        <v>10</v>
      </c>
      <c r="G157" s="240">
        <f aca="true" t="shared" si="11" ref="G157:G163">F157-E157</f>
        <v>-2</v>
      </c>
      <c r="H157" s="241">
        <f aca="true" t="shared" si="12" ref="H157:H163">(F157/E157)*100</f>
        <v>83.33333333333334</v>
      </c>
    </row>
    <row r="158" spans="1:8" s="59" customFormat="1" ht="24.75" customHeight="1">
      <c r="A158" s="61" t="s">
        <v>185</v>
      </c>
      <c r="B158" s="295" t="s">
        <v>186</v>
      </c>
      <c r="C158" s="240">
        <f>'6.1. Інша інфо_1'!C14</f>
        <v>71</v>
      </c>
      <c r="D158" s="240" t="s">
        <v>154</v>
      </c>
      <c r="E158" s="240">
        <f>'6.1. Інша інфо_1'!F14</f>
        <v>78</v>
      </c>
      <c r="F158" s="240">
        <f>'6.1. Інша інфо_1'!I14</f>
        <v>98</v>
      </c>
      <c r="G158" s="240">
        <f t="shared" si="11"/>
        <v>20</v>
      </c>
      <c r="H158" s="241">
        <f t="shared" si="12"/>
        <v>125.64102564102564</v>
      </c>
    </row>
    <row r="159" spans="1:8" s="59" customFormat="1" ht="24.75" customHeight="1">
      <c r="A159" s="223" t="s">
        <v>88</v>
      </c>
      <c r="B159" s="295" t="s">
        <v>187</v>
      </c>
      <c r="C159" s="217">
        <f>'6.1. Інша інфо_1'!C19:E19</f>
        <v>3295.7000000000003</v>
      </c>
      <c r="D159" s="240" t="s">
        <v>154</v>
      </c>
      <c r="E159" s="217">
        <f>E72</f>
        <v>4620</v>
      </c>
      <c r="F159" s="217">
        <f>F72</f>
        <v>5521.9</v>
      </c>
      <c r="G159" s="254">
        <f t="shared" si="11"/>
        <v>901.8999999999996</v>
      </c>
      <c r="H159" s="299">
        <f t="shared" si="12"/>
        <v>119.52164502164501</v>
      </c>
    </row>
    <row r="160" spans="1:8" s="59" customFormat="1" ht="40.5" customHeight="1">
      <c r="A160" s="223" t="s">
        <v>188</v>
      </c>
      <c r="B160" s="295" t="s">
        <v>189</v>
      </c>
      <c r="C160" s="254">
        <f>'6.1. Інша інфо_1'!C23:E23</f>
        <v>13562.551440329218</v>
      </c>
      <c r="D160" s="240" t="s">
        <v>154</v>
      </c>
      <c r="E160" s="254">
        <f>'6.1. Інша інфо_1'!F23</f>
        <v>16923.076923076922</v>
      </c>
      <c r="F160" s="254">
        <f>'6.1. Інша інфо_1'!I23</f>
        <v>16886.544342507645</v>
      </c>
      <c r="G160" s="254">
        <f t="shared" si="11"/>
        <v>-36.53258056927734</v>
      </c>
      <c r="H160" s="299">
        <f t="shared" si="12"/>
        <v>99.78412566027245</v>
      </c>
    </row>
    <row r="161" spans="1:8" s="59" customFormat="1" ht="24.75" customHeight="1">
      <c r="A161" s="61" t="s">
        <v>181</v>
      </c>
      <c r="B161" s="295" t="s">
        <v>190</v>
      </c>
      <c r="C161" s="240">
        <f>'6.1. Інша інфо_1'!C24:E24</f>
        <v>18066.666666666668</v>
      </c>
      <c r="D161" s="240" t="s">
        <v>154</v>
      </c>
      <c r="E161" s="210">
        <f>'6.1. Інша інфо_1'!F24</f>
        <v>35666.666666666664</v>
      </c>
      <c r="F161" s="210">
        <f>'6.1. Інша інфо_1'!I24</f>
        <v>45566.666666666664</v>
      </c>
      <c r="G161" s="240">
        <f t="shared" si="11"/>
        <v>9900</v>
      </c>
      <c r="H161" s="241">
        <f t="shared" si="12"/>
        <v>127.75700934579439</v>
      </c>
    </row>
    <row r="162" spans="1:8" s="59" customFormat="1" ht="24.75" customHeight="1">
      <c r="A162" s="61" t="s">
        <v>183</v>
      </c>
      <c r="B162" s="295" t="s">
        <v>191</v>
      </c>
      <c r="C162" s="240">
        <f>'6.1. Інша інфо_1'!C25:E25</f>
        <v>10929.629629629631</v>
      </c>
      <c r="D162" s="240" t="s">
        <v>154</v>
      </c>
      <c r="E162" s="210">
        <f>'6.1. Інша інфо_1'!F25</f>
        <v>10916.666666666666</v>
      </c>
      <c r="F162" s="210">
        <f>'6.1. Інша інфо_1'!I25</f>
        <v>22133.333333333336</v>
      </c>
      <c r="G162" s="240">
        <f t="shared" si="11"/>
        <v>11216.66666666667</v>
      </c>
      <c r="H162" s="241">
        <f t="shared" si="12"/>
        <v>202.74809160305347</v>
      </c>
    </row>
    <row r="163" spans="1:8" s="59" customFormat="1" ht="24.75" customHeight="1">
      <c r="A163" s="61" t="s">
        <v>185</v>
      </c>
      <c r="B163" s="295" t="s">
        <v>192</v>
      </c>
      <c r="C163" s="240">
        <f>'6.1. Інша інфо_1'!C26:E26</f>
        <v>13832.86384976526</v>
      </c>
      <c r="D163" s="240" t="s">
        <v>154</v>
      </c>
      <c r="E163" s="210">
        <f>'6.1. Інша інфо_1'!F26</f>
        <v>11239.316239316238</v>
      </c>
      <c r="F163" s="210">
        <f>'6.1. Інша інфо_1'!I26</f>
        <v>15038.095238095239</v>
      </c>
      <c r="G163" s="240">
        <f t="shared" si="11"/>
        <v>3798.778998779</v>
      </c>
      <c r="H163" s="241">
        <f t="shared" si="12"/>
        <v>133.79902227050516</v>
      </c>
    </row>
    <row r="164" spans="1:8" s="59" customFormat="1" ht="19.5" customHeight="1">
      <c r="A164" s="64"/>
      <c r="B164" s="300"/>
      <c r="C164" s="301"/>
      <c r="D164" s="301"/>
      <c r="E164" s="302"/>
      <c r="F164" s="302"/>
      <c r="G164" s="302"/>
      <c r="H164" s="303"/>
    </row>
    <row r="165" spans="1:8" s="59" customFormat="1" ht="19.5" customHeight="1">
      <c r="A165" s="64"/>
      <c r="B165" s="300"/>
      <c r="C165" s="301"/>
      <c r="D165" s="301"/>
      <c r="E165" s="302"/>
      <c r="F165" s="302"/>
      <c r="G165" s="302"/>
      <c r="H165" s="303"/>
    </row>
    <row r="166" ht="18.75">
      <c r="A166" s="304"/>
    </row>
    <row r="167" spans="1:8" ht="18.75">
      <c r="A167" s="99" t="s">
        <v>193</v>
      </c>
      <c r="C167" s="349" t="s">
        <v>194</v>
      </c>
      <c r="D167" s="349"/>
      <c r="E167" s="349"/>
      <c r="F167" s="349"/>
      <c r="G167" s="318" t="s">
        <v>529</v>
      </c>
      <c r="H167" s="318"/>
    </row>
    <row r="168" spans="1:9" s="6" customFormat="1" ht="19.5" customHeight="1">
      <c r="A168" s="101" t="s">
        <v>195</v>
      </c>
      <c r="B168" s="57"/>
      <c r="C168" s="343" t="s">
        <v>196</v>
      </c>
      <c r="D168" s="343"/>
      <c r="E168" s="343"/>
      <c r="F168" s="343"/>
      <c r="G168" s="344"/>
      <c r="H168" s="344"/>
      <c r="I168" s="5"/>
    </row>
    <row r="169" ht="18.75">
      <c r="A169" s="304"/>
    </row>
    <row r="170" ht="18.75">
      <c r="A170" s="304"/>
    </row>
    <row r="171" ht="18.75">
      <c r="A171" s="304"/>
    </row>
    <row r="172" ht="18.75">
      <c r="A172" s="304"/>
    </row>
    <row r="173" ht="18.75">
      <c r="A173" s="304"/>
    </row>
    <row r="174" ht="18.75">
      <c r="A174" s="304"/>
    </row>
    <row r="175" ht="18.75">
      <c r="A175" s="304"/>
    </row>
    <row r="176" ht="18.75">
      <c r="A176" s="304"/>
    </row>
    <row r="177" ht="18.75">
      <c r="A177" s="304"/>
    </row>
    <row r="178" ht="18.75">
      <c r="A178" s="304"/>
    </row>
    <row r="179" ht="18.75">
      <c r="A179" s="304"/>
    </row>
    <row r="180" ht="18.75">
      <c r="A180" s="304"/>
    </row>
    <row r="181" ht="18.75">
      <c r="A181" s="304"/>
    </row>
    <row r="182" ht="18.75">
      <c r="A182" s="304"/>
    </row>
    <row r="183" ht="18.75">
      <c r="A183" s="304"/>
    </row>
    <row r="184" ht="18.75">
      <c r="A184" s="304"/>
    </row>
    <row r="185" ht="18.75">
      <c r="A185" s="304"/>
    </row>
    <row r="186" ht="18.75">
      <c r="A186" s="304"/>
    </row>
    <row r="187" ht="18.75">
      <c r="A187" s="304"/>
    </row>
    <row r="188" ht="18.75">
      <c r="A188" s="304"/>
    </row>
    <row r="189" ht="18.75">
      <c r="A189" s="304"/>
    </row>
    <row r="190" ht="18.75">
      <c r="A190" s="304"/>
    </row>
    <row r="191" ht="18.75">
      <c r="A191" s="304"/>
    </row>
    <row r="192" ht="18.75">
      <c r="A192" s="304"/>
    </row>
    <row r="193" ht="18.75">
      <c r="A193" s="304"/>
    </row>
    <row r="194" ht="18.75">
      <c r="A194" s="304"/>
    </row>
    <row r="195" ht="18.75">
      <c r="A195" s="304"/>
    </row>
    <row r="196" ht="18.75">
      <c r="A196" s="304"/>
    </row>
    <row r="197" ht="18.75">
      <c r="A197" s="304"/>
    </row>
    <row r="198" ht="18.75">
      <c r="A198" s="304"/>
    </row>
    <row r="199" ht="18.75">
      <c r="A199" s="304"/>
    </row>
    <row r="200" ht="18.75">
      <c r="A200" s="304"/>
    </row>
    <row r="201" ht="18.75">
      <c r="A201" s="304"/>
    </row>
    <row r="202" ht="18.75">
      <c r="A202" s="304"/>
    </row>
    <row r="203" ht="18.75">
      <c r="A203" s="304"/>
    </row>
    <row r="204" ht="18.75">
      <c r="A204" s="304"/>
    </row>
    <row r="205" ht="18.75">
      <c r="A205" s="304"/>
    </row>
    <row r="206" ht="18.75">
      <c r="A206" s="304"/>
    </row>
    <row r="207" ht="18.75">
      <c r="A207" s="304"/>
    </row>
    <row r="208" ht="18.75">
      <c r="A208" s="304"/>
    </row>
    <row r="209" ht="18.75">
      <c r="A209" s="304"/>
    </row>
    <row r="210" ht="18.75">
      <c r="A210" s="304"/>
    </row>
    <row r="211" ht="18.75">
      <c r="A211" s="304"/>
    </row>
    <row r="212" ht="18.75">
      <c r="A212" s="304"/>
    </row>
    <row r="213" ht="18.75">
      <c r="A213" s="304"/>
    </row>
    <row r="214" ht="18.75">
      <c r="A214" s="304"/>
    </row>
    <row r="215" ht="18.75">
      <c r="A215" s="304"/>
    </row>
    <row r="216" ht="18.75">
      <c r="A216" s="304"/>
    </row>
    <row r="217" ht="18.75">
      <c r="A217" s="304"/>
    </row>
    <row r="218" ht="18.75">
      <c r="A218" s="304"/>
    </row>
    <row r="219" ht="18.75">
      <c r="A219" s="304"/>
    </row>
    <row r="220" ht="18.75">
      <c r="A220" s="304"/>
    </row>
    <row r="221" ht="18.75">
      <c r="A221" s="304"/>
    </row>
    <row r="222" ht="18.75">
      <c r="A222" s="304"/>
    </row>
    <row r="223" ht="18.75">
      <c r="A223" s="304"/>
    </row>
    <row r="224" ht="18.75">
      <c r="A224" s="304"/>
    </row>
    <row r="225" ht="18.75">
      <c r="A225" s="304"/>
    </row>
    <row r="226" ht="18.75">
      <c r="A226" s="304"/>
    </row>
    <row r="227" ht="18.75">
      <c r="A227" s="304"/>
    </row>
    <row r="228" ht="18.75">
      <c r="A228" s="304"/>
    </row>
    <row r="229" ht="18.75">
      <c r="A229" s="304"/>
    </row>
    <row r="230" ht="18.75">
      <c r="A230" s="304"/>
    </row>
    <row r="231" ht="18.75">
      <c r="A231" s="304"/>
    </row>
    <row r="232" ht="18.75">
      <c r="A232" s="304"/>
    </row>
    <row r="233" ht="18.75">
      <c r="A233" s="304"/>
    </row>
    <row r="234" ht="18.75">
      <c r="A234" s="304"/>
    </row>
    <row r="235" ht="18.75">
      <c r="A235" s="304"/>
    </row>
    <row r="236" ht="18.75">
      <c r="A236" s="304"/>
    </row>
    <row r="237" ht="18.75">
      <c r="A237" s="304"/>
    </row>
    <row r="238" ht="18.75">
      <c r="A238" s="304"/>
    </row>
    <row r="239" ht="18.75">
      <c r="A239" s="304"/>
    </row>
    <row r="240" ht="18.75">
      <c r="A240" s="304"/>
    </row>
    <row r="241" ht="18.75">
      <c r="A241" s="304"/>
    </row>
    <row r="242" ht="18.75">
      <c r="A242" s="304"/>
    </row>
    <row r="243" ht="18.75">
      <c r="A243" s="304"/>
    </row>
    <row r="244" ht="18.75">
      <c r="A244" s="304"/>
    </row>
    <row r="245" ht="18.75">
      <c r="A245" s="304"/>
    </row>
    <row r="246" ht="18.75">
      <c r="A246" s="304"/>
    </row>
    <row r="247" ht="18.75">
      <c r="A247" s="304"/>
    </row>
    <row r="248" ht="18.75">
      <c r="A248" s="304"/>
    </row>
    <row r="249" ht="18.75">
      <c r="A249" s="304"/>
    </row>
    <row r="250" ht="18.75">
      <c r="A250" s="304"/>
    </row>
    <row r="251" ht="18.75">
      <c r="A251" s="304"/>
    </row>
    <row r="252" ht="18.75">
      <c r="A252" s="304"/>
    </row>
    <row r="253" ht="18.75">
      <c r="A253" s="304"/>
    </row>
    <row r="254" ht="18.75">
      <c r="A254" s="304"/>
    </row>
    <row r="255" ht="18.75">
      <c r="A255" s="304"/>
    </row>
    <row r="256" ht="18.75">
      <c r="A256" s="304"/>
    </row>
    <row r="257" ht="18.75">
      <c r="A257" s="304"/>
    </row>
    <row r="258" ht="18.75">
      <c r="A258" s="304"/>
    </row>
    <row r="259" ht="18.75">
      <c r="A259" s="304"/>
    </row>
    <row r="260" ht="18.75">
      <c r="A260" s="304"/>
    </row>
    <row r="261" ht="18.75">
      <c r="A261" s="304"/>
    </row>
    <row r="262" ht="18.75">
      <c r="A262" s="304"/>
    </row>
    <row r="263" ht="18.75">
      <c r="A263" s="304"/>
    </row>
    <row r="264" ht="18.75">
      <c r="A264" s="304"/>
    </row>
    <row r="265" ht="18.75">
      <c r="A265" s="304"/>
    </row>
    <row r="266" ht="18.75">
      <c r="A266" s="304"/>
    </row>
    <row r="267" ht="18.75">
      <c r="A267" s="304"/>
    </row>
    <row r="268" ht="18.75">
      <c r="A268" s="304"/>
    </row>
    <row r="269" ht="18.75">
      <c r="A269" s="304"/>
    </row>
    <row r="270" ht="18.75">
      <c r="A270" s="304"/>
    </row>
    <row r="271" ht="18.75">
      <c r="A271" s="304"/>
    </row>
    <row r="272" ht="18.75">
      <c r="A272" s="304"/>
    </row>
    <row r="273" ht="18.75">
      <c r="A273" s="304"/>
    </row>
    <row r="274" ht="18.75">
      <c r="A274" s="304"/>
    </row>
    <row r="275" ht="18.75">
      <c r="A275" s="304"/>
    </row>
    <row r="276" ht="18.75">
      <c r="A276" s="304"/>
    </row>
    <row r="277" ht="18.75">
      <c r="A277" s="304"/>
    </row>
    <row r="278" ht="18.75">
      <c r="A278" s="304"/>
    </row>
    <row r="279" ht="18.75">
      <c r="A279" s="304"/>
    </row>
    <row r="280" ht="18.75">
      <c r="A280" s="304"/>
    </row>
    <row r="281" ht="18.75">
      <c r="A281" s="304"/>
    </row>
    <row r="282" ht="18.75">
      <c r="A282" s="304"/>
    </row>
    <row r="283" ht="18.75">
      <c r="A283" s="304"/>
    </row>
    <row r="284" ht="18.75">
      <c r="A284" s="304"/>
    </row>
    <row r="285" ht="18.75">
      <c r="A285" s="304"/>
    </row>
    <row r="286" ht="18.75">
      <c r="A286" s="304"/>
    </row>
    <row r="287" ht="18.75">
      <c r="A287" s="304"/>
    </row>
    <row r="288" ht="18.75">
      <c r="A288" s="304"/>
    </row>
    <row r="289" ht="18.75">
      <c r="A289" s="304"/>
    </row>
    <row r="290" ht="18.75">
      <c r="A290" s="304"/>
    </row>
    <row r="291" ht="18.75">
      <c r="A291" s="304"/>
    </row>
    <row r="292" ht="18.75">
      <c r="A292" s="304"/>
    </row>
    <row r="293" ht="18.75">
      <c r="A293" s="304"/>
    </row>
    <row r="294" ht="18.75">
      <c r="A294" s="304"/>
    </row>
    <row r="295" ht="18.75">
      <c r="A295" s="304"/>
    </row>
    <row r="296" ht="18.75">
      <c r="A296" s="304"/>
    </row>
    <row r="297" ht="18.75">
      <c r="A297" s="304"/>
    </row>
    <row r="298" ht="18.75">
      <c r="A298" s="304"/>
    </row>
    <row r="299" ht="18.75">
      <c r="A299" s="304"/>
    </row>
    <row r="300" ht="18.75">
      <c r="A300" s="304"/>
    </row>
    <row r="301" ht="18.75">
      <c r="A301" s="304"/>
    </row>
    <row r="302" ht="18.75">
      <c r="A302" s="304"/>
    </row>
    <row r="303" ht="18.75">
      <c r="A303" s="304"/>
    </row>
    <row r="304" ht="18.75">
      <c r="A304" s="304"/>
    </row>
    <row r="305" ht="18.75">
      <c r="A305" s="304"/>
    </row>
    <row r="306" ht="18.75">
      <c r="A306" s="304"/>
    </row>
    <row r="307" ht="18.75">
      <c r="A307" s="304"/>
    </row>
    <row r="308" ht="18.75">
      <c r="A308" s="304"/>
    </row>
    <row r="309" ht="18.75">
      <c r="A309" s="304"/>
    </row>
    <row r="310" ht="18.75">
      <c r="A310" s="304"/>
    </row>
    <row r="311" ht="18.75">
      <c r="A311" s="304"/>
    </row>
    <row r="312" ht="18.75">
      <c r="A312" s="304"/>
    </row>
    <row r="313" ht="18.75">
      <c r="A313" s="304"/>
    </row>
    <row r="314" ht="18.75">
      <c r="A314" s="304"/>
    </row>
    <row r="315" ht="18.75">
      <c r="A315" s="304"/>
    </row>
    <row r="316" ht="18.75">
      <c r="A316" s="304"/>
    </row>
    <row r="317" ht="18.75">
      <c r="A317" s="304"/>
    </row>
    <row r="318" ht="18.75">
      <c r="A318" s="304"/>
    </row>
    <row r="319" ht="18.75">
      <c r="A319" s="304"/>
    </row>
    <row r="320" ht="18.75">
      <c r="A320" s="304"/>
    </row>
    <row r="321" ht="18.75">
      <c r="A321" s="304"/>
    </row>
    <row r="322" ht="18.75">
      <c r="A322" s="304"/>
    </row>
    <row r="323" ht="18.75">
      <c r="A323" s="304"/>
    </row>
    <row r="324" ht="18.75">
      <c r="A324" s="304"/>
    </row>
    <row r="325" ht="18.75">
      <c r="A325" s="304"/>
    </row>
    <row r="326" ht="18.75">
      <c r="A326" s="304"/>
    </row>
    <row r="327" ht="18.75">
      <c r="A327" s="110"/>
    </row>
    <row r="328" ht="18.75">
      <c r="A328" s="110"/>
    </row>
    <row r="329" ht="18.75">
      <c r="A329" s="110"/>
    </row>
    <row r="330" ht="18.75">
      <c r="A330" s="110"/>
    </row>
    <row r="331" ht="18.75">
      <c r="A331" s="110"/>
    </row>
    <row r="332" ht="18.75">
      <c r="A332" s="110"/>
    </row>
    <row r="333" ht="18.75">
      <c r="A333" s="110"/>
    </row>
    <row r="334" ht="18.75">
      <c r="A334" s="110"/>
    </row>
    <row r="335" ht="18.75">
      <c r="A335" s="110"/>
    </row>
    <row r="336" ht="18.75">
      <c r="A336" s="110"/>
    </row>
    <row r="337" ht="18.75">
      <c r="A337" s="110"/>
    </row>
    <row r="338" ht="18.75">
      <c r="A338" s="110"/>
    </row>
    <row r="339" ht="18.75">
      <c r="A339" s="110"/>
    </row>
    <row r="340" ht="18.75">
      <c r="A340" s="110"/>
    </row>
    <row r="341" ht="18.75">
      <c r="A341" s="110"/>
    </row>
    <row r="342" ht="18.75">
      <c r="A342" s="110"/>
    </row>
    <row r="343" ht="18.75">
      <c r="A343" s="110"/>
    </row>
    <row r="344" ht="18.75">
      <c r="A344" s="110"/>
    </row>
    <row r="345" ht="18.75">
      <c r="A345" s="110"/>
    </row>
    <row r="346" ht="18.75">
      <c r="A346" s="110"/>
    </row>
    <row r="347" ht="18.75">
      <c r="A347" s="110"/>
    </row>
    <row r="348" ht="18.75">
      <c r="A348" s="110"/>
    </row>
    <row r="349" ht="18.75">
      <c r="A349" s="110"/>
    </row>
    <row r="350" ht="18.75">
      <c r="A350" s="110"/>
    </row>
    <row r="351" ht="18.75">
      <c r="A351" s="110"/>
    </row>
    <row r="352" ht="18.75">
      <c r="A352" s="110"/>
    </row>
    <row r="353" ht="18.75">
      <c r="A353" s="110"/>
    </row>
    <row r="354" ht="18.75">
      <c r="A354" s="110"/>
    </row>
    <row r="355" ht="18.75">
      <c r="A355" s="110"/>
    </row>
    <row r="356" ht="18.75">
      <c r="A356" s="110"/>
    </row>
    <row r="357" ht="18.75">
      <c r="A357" s="110"/>
    </row>
    <row r="358" ht="18.75">
      <c r="A358" s="110"/>
    </row>
    <row r="359" ht="18.75">
      <c r="A359" s="110"/>
    </row>
    <row r="360" ht="18.75">
      <c r="A360" s="110"/>
    </row>
    <row r="361" ht="18.75">
      <c r="A361" s="110"/>
    </row>
    <row r="362" ht="18.75">
      <c r="A362" s="110"/>
    </row>
    <row r="363" ht="18.75">
      <c r="A363" s="110"/>
    </row>
    <row r="364" ht="18.75">
      <c r="A364" s="110"/>
    </row>
    <row r="365" ht="18.75">
      <c r="A365" s="110"/>
    </row>
    <row r="366" ht="18.75">
      <c r="A366" s="110"/>
    </row>
    <row r="367" ht="18.75">
      <c r="A367" s="110"/>
    </row>
    <row r="368" ht="18.75">
      <c r="A368" s="110"/>
    </row>
    <row r="369" ht="18.75">
      <c r="A369" s="110"/>
    </row>
    <row r="370" ht="18.75">
      <c r="A370" s="110"/>
    </row>
    <row r="371" ht="18.75">
      <c r="A371" s="110"/>
    </row>
    <row r="372" ht="18.75">
      <c r="A372" s="110"/>
    </row>
    <row r="373" ht="18.75">
      <c r="A373" s="110"/>
    </row>
    <row r="374" ht="18.75">
      <c r="A374" s="110"/>
    </row>
    <row r="375" ht="18.75">
      <c r="A375" s="110"/>
    </row>
    <row r="376" ht="18.75">
      <c r="A376" s="110"/>
    </row>
    <row r="377" ht="18.75">
      <c r="A377" s="110"/>
    </row>
    <row r="378" ht="18.75">
      <c r="A378" s="110"/>
    </row>
    <row r="379" ht="18.75">
      <c r="A379" s="110"/>
    </row>
    <row r="380" ht="18.75">
      <c r="A380" s="110"/>
    </row>
    <row r="381" ht="18.75">
      <c r="A381" s="110"/>
    </row>
    <row r="382" ht="18.75">
      <c r="A382" s="110"/>
    </row>
    <row r="383" ht="18.75">
      <c r="A383" s="110"/>
    </row>
    <row r="384" ht="18.75">
      <c r="A384" s="110"/>
    </row>
    <row r="385" ht="18.75">
      <c r="A385" s="110"/>
    </row>
    <row r="386" ht="18.75">
      <c r="A386" s="110"/>
    </row>
    <row r="387" ht="18.75">
      <c r="A387" s="110"/>
    </row>
    <row r="388" ht="18.75">
      <c r="A388" s="110"/>
    </row>
    <row r="389" ht="18.75">
      <c r="A389" s="110"/>
    </row>
    <row r="390" ht="18.75">
      <c r="A390" s="110"/>
    </row>
    <row r="391" ht="18.75">
      <c r="A391" s="110"/>
    </row>
    <row r="392" ht="18.75">
      <c r="A392" s="110"/>
    </row>
    <row r="393" ht="18.75">
      <c r="A393" s="110"/>
    </row>
    <row r="394" ht="18.75">
      <c r="A394" s="110"/>
    </row>
    <row r="395" ht="18.75">
      <c r="A395" s="110"/>
    </row>
    <row r="396" ht="18.75">
      <c r="A396" s="110"/>
    </row>
    <row r="397" ht="18.75">
      <c r="A397" s="110"/>
    </row>
    <row r="398" ht="18.75">
      <c r="A398" s="110"/>
    </row>
    <row r="399" ht="18.75">
      <c r="A399" s="110"/>
    </row>
    <row r="400" ht="18.75">
      <c r="A400" s="110"/>
    </row>
    <row r="401" ht="18.75">
      <c r="A401" s="110"/>
    </row>
    <row r="402" ht="18.75">
      <c r="A402" s="110"/>
    </row>
    <row r="403" ht="18.75">
      <c r="A403" s="110"/>
    </row>
    <row r="404" ht="18.75">
      <c r="A404" s="110"/>
    </row>
    <row r="405" ht="18.75">
      <c r="A405" s="110"/>
    </row>
    <row r="406" ht="18.75">
      <c r="A406" s="110"/>
    </row>
    <row r="407" ht="18.75">
      <c r="A407" s="110"/>
    </row>
    <row r="408" ht="18.75">
      <c r="A408" s="110"/>
    </row>
    <row r="409" ht="18.75">
      <c r="A409" s="110"/>
    </row>
    <row r="410" ht="18.75">
      <c r="A410" s="110"/>
    </row>
    <row r="411" ht="18.75">
      <c r="A411" s="110"/>
    </row>
    <row r="412" ht="18.75">
      <c r="A412" s="110"/>
    </row>
    <row r="413" ht="18.75">
      <c r="A413" s="110"/>
    </row>
    <row r="414" ht="18.75">
      <c r="A414" s="110"/>
    </row>
    <row r="415" ht="18.75">
      <c r="A415" s="110"/>
    </row>
    <row r="416" ht="18.75">
      <c r="A416" s="110"/>
    </row>
    <row r="417" ht="18.75">
      <c r="A417" s="110"/>
    </row>
    <row r="418" ht="18.75">
      <c r="A418" s="110"/>
    </row>
    <row r="419" ht="18.75">
      <c r="A419" s="110"/>
    </row>
    <row r="420" ht="18.75">
      <c r="A420" s="110"/>
    </row>
    <row r="421" ht="18.75">
      <c r="A421" s="110"/>
    </row>
    <row r="422" ht="18.75">
      <c r="A422" s="110"/>
    </row>
    <row r="423" ht="18.75">
      <c r="A423" s="110"/>
    </row>
    <row r="424" ht="18.75">
      <c r="A424" s="110"/>
    </row>
    <row r="425" ht="18.75">
      <c r="A425" s="110"/>
    </row>
    <row r="426" ht="18.75">
      <c r="A426" s="110"/>
    </row>
    <row r="427" ht="18.75">
      <c r="A427" s="110"/>
    </row>
    <row r="428" ht="18.75">
      <c r="A428" s="110"/>
    </row>
    <row r="429" ht="18.75">
      <c r="A429" s="110"/>
    </row>
    <row r="430" ht="18.75">
      <c r="A430" s="110"/>
    </row>
    <row r="431" ht="18.75">
      <c r="A431" s="110"/>
    </row>
    <row r="432" ht="18.75">
      <c r="A432" s="110"/>
    </row>
    <row r="433" ht="18.75">
      <c r="A433" s="110"/>
    </row>
    <row r="434" ht="18.75">
      <c r="A434" s="110"/>
    </row>
    <row r="435" ht="18.75">
      <c r="A435" s="110"/>
    </row>
    <row r="436" ht="18.75">
      <c r="A436" s="110"/>
    </row>
    <row r="437" ht="18.75">
      <c r="A437" s="110"/>
    </row>
    <row r="438" ht="18.75">
      <c r="A438" s="110"/>
    </row>
    <row r="439" ht="18.75">
      <c r="A439" s="110"/>
    </row>
    <row r="440" ht="18.75">
      <c r="A440" s="110"/>
    </row>
    <row r="441" ht="18.75">
      <c r="A441" s="110"/>
    </row>
    <row r="442" ht="18.75">
      <c r="A442" s="110"/>
    </row>
    <row r="443" ht="18.75">
      <c r="A443" s="110"/>
    </row>
    <row r="444" ht="18.75">
      <c r="A444" s="110"/>
    </row>
    <row r="445" ht="18.75">
      <c r="A445" s="110"/>
    </row>
    <row r="446" ht="18.75">
      <c r="A446" s="110"/>
    </row>
    <row r="447" ht="18.75">
      <c r="A447" s="110"/>
    </row>
    <row r="448" ht="18.75">
      <c r="A448" s="110"/>
    </row>
    <row r="449" ht="18.75">
      <c r="A449" s="110"/>
    </row>
    <row r="450" ht="18.75">
      <c r="A450" s="110"/>
    </row>
    <row r="451" ht="18.75">
      <c r="A451" s="110"/>
    </row>
    <row r="452" ht="18.75">
      <c r="A452" s="110"/>
    </row>
    <row r="453" ht="18.75">
      <c r="A453" s="110"/>
    </row>
    <row r="454" ht="18.75">
      <c r="A454" s="110"/>
    </row>
    <row r="455" ht="18.75">
      <c r="A455" s="110"/>
    </row>
    <row r="456" ht="18.75">
      <c r="A456" s="110"/>
    </row>
    <row r="457" ht="18.75">
      <c r="A457" s="110"/>
    </row>
    <row r="458" ht="18.75">
      <c r="A458" s="110"/>
    </row>
    <row r="459" ht="18.75">
      <c r="A459" s="110"/>
    </row>
    <row r="460" ht="18.75">
      <c r="A460" s="110"/>
    </row>
    <row r="461" ht="18.75">
      <c r="A461" s="110"/>
    </row>
    <row r="462" ht="18.75">
      <c r="A462" s="110"/>
    </row>
    <row r="463" ht="18.75">
      <c r="A463" s="110"/>
    </row>
    <row r="464" ht="18.75">
      <c r="A464" s="110"/>
    </row>
    <row r="465" ht="18.75">
      <c r="A465" s="110"/>
    </row>
    <row r="466" ht="18.75">
      <c r="A466" s="110"/>
    </row>
    <row r="467" ht="18.75">
      <c r="A467" s="110"/>
    </row>
    <row r="468" ht="18.75">
      <c r="A468" s="110"/>
    </row>
    <row r="469" ht="18.75">
      <c r="A469" s="110"/>
    </row>
    <row r="470" ht="18.75">
      <c r="A470" s="110"/>
    </row>
    <row r="471" ht="18.75">
      <c r="A471" s="110"/>
    </row>
    <row r="472" ht="18.75">
      <c r="A472" s="110"/>
    </row>
    <row r="473" ht="18.75">
      <c r="A473" s="110"/>
    </row>
    <row r="474" ht="18.75">
      <c r="A474" s="110"/>
    </row>
    <row r="475" ht="18.75">
      <c r="A475" s="110"/>
    </row>
    <row r="476" ht="18.75">
      <c r="A476" s="110"/>
    </row>
    <row r="477" ht="18.75">
      <c r="A477" s="110"/>
    </row>
    <row r="478" ht="18.75">
      <c r="A478" s="110"/>
    </row>
    <row r="479" ht="18.75">
      <c r="A479" s="110"/>
    </row>
    <row r="480" ht="18.75">
      <c r="A480" s="110"/>
    </row>
    <row r="481" ht="18.75">
      <c r="A481" s="110"/>
    </row>
    <row r="482" ht="18.75">
      <c r="A482" s="110"/>
    </row>
    <row r="483" ht="18.75">
      <c r="A483" s="110"/>
    </row>
    <row r="484" ht="18.75">
      <c r="A484" s="110"/>
    </row>
    <row r="485" ht="18.75">
      <c r="A485" s="110"/>
    </row>
    <row r="486" ht="18.75">
      <c r="A486" s="110"/>
    </row>
    <row r="487" ht="18.75">
      <c r="A487" s="110"/>
    </row>
    <row r="488" ht="18.75">
      <c r="A488" s="110"/>
    </row>
    <row r="489" ht="18.75">
      <c r="A489" s="110"/>
    </row>
    <row r="490" ht="18.75">
      <c r="A490" s="110"/>
    </row>
    <row r="491" ht="18.75">
      <c r="A491" s="110"/>
    </row>
    <row r="492" ht="18.75">
      <c r="A492" s="110"/>
    </row>
  </sheetData>
  <sheetProtection/>
  <mergeCells count="41">
    <mergeCell ref="C168:F168"/>
    <mergeCell ref="G168:H168"/>
    <mergeCell ref="A26:A27"/>
    <mergeCell ref="B26:B27"/>
    <mergeCell ref="A125:H125"/>
    <mergeCell ref="A131:H131"/>
    <mergeCell ref="A145:H145"/>
    <mergeCell ref="A154:H154"/>
    <mergeCell ref="C167:F167"/>
    <mergeCell ref="G167:H167"/>
    <mergeCell ref="A29:H29"/>
    <mergeCell ref="A77:H77"/>
    <mergeCell ref="A78:H78"/>
    <mergeCell ref="A90:H90"/>
    <mergeCell ref="A104:H104"/>
    <mergeCell ref="A112:H112"/>
    <mergeCell ref="B18:F18"/>
    <mergeCell ref="A20:H20"/>
    <mergeCell ref="A21:H21"/>
    <mergeCell ref="A22:H22"/>
    <mergeCell ref="A24:H24"/>
    <mergeCell ref="C26:D26"/>
    <mergeCell ref="E26:H26"/>
    <mergeCell ref="F13:G13"/>
    <mergeCell ref="B14:E14"/>
    <mergeCell ref="F14:G14"/>
    <mergeCell ref="B15:E15"/>
    <mergeCell ref="B16:F16"/>
    <mergeCell ref="B17:F17"/>
    <mergeCell ref="B8:E8"/>
    <mergeCell ref="B9:E9"/>
    <mergeCell ref="B10:E10"/>
    <mergeCell ref="B11:E11"/>
    <mergeCell ref="B12:E12"/>
    <mergeCell ref="B13:E13"/>
    <mergeCell ref="F1:H1"/>
    <mergeCell ref="F2:H2"/>
    <mergeCell ref="F3:H3"/>
    <mergeCell ref="F4:H4"/>
    <mergeCell ref="B6:E6"/>
    <mergeCell ref="B7:F7"/>
  </mergeCells>
  <printOptions/>
  <pageMargins left="0.550694444444444" right="0.275" top="0.984027777777778" bottom="0.0784722222222222" header="0.313888888888889" footer="0.156944444444444"/>
  <pageSetup horizontalDpi="600" verticalDpi="600" orientation="landscape" paperSize="9" scale="49" r:id="rId1"/>
  <headerFooter alignWithMargins="0">
    <oddHeader>&amp;C
&amp;"Times New Roman,обычный"&amp;14 &amp;P&amp;R&amp;"Times New Roman,обычный"&amp;14Продовження додатка 3</oddHeader>
  </headerFooter>
  <rowBreaks count="3" manualBreakCount="3">
    <brk id="48" max="7" man="1"/>
    <brk id="89" max="7" man="1"/>
    <brk id="130" max="7" man="1"/>
  </rowBreaks>
  <ignoredErrors>
    <ignoredError sqref="E156:E158" formula="1"/>
    <ignoredError sqref="E160:E163" evalError="1" formula="1"/>
    <ignoredError sqref="B114 B146:B153 B155:B163" numberStoredAsText="1"/>
    <ignoredError sqref="H34:H38 G126 C129:D129 H127 H30:H32 G105 H49 G94 H57:H76 C126:D126 H130 H155 G47 H81:H82 H91:H103 H105:H111 H113:H124 H126 C160:C163 H146:H153 H33 H44:H45 G34:G38 H39:H43 H47 G44:G45 H46 H50:H56 C47:F47 C48 D48:F48 H48 G48 H79:H80 H83:H88 G81:G82 H89 G83:G88 G107:G111 C127:D127 H128 G50:G56 H129 C128:D128 G64 H132:H144 C130:D130 E128:F128 G129 E127:F127 G128 G127 G130 E129:F129 E130:F130 E126:F126 H160:H163 F160:G163 H156:H159" evalError="1"/>
  </ignoredErrors>
</worksheet>
</file>

<file path=xl/worksheets/sheet2.xml><?xml version="1.0" encoding="utf-8"?>
<worksheet xmlns="http://schemas.openxmlformats.org/spreadsheetml/2006/main" xmlns:r="http://schemas.openxmlformats.org/officeDocument/2006/relationships">
  <sheetPr>
    <tabColor indexed="43"/>
  </sheetPr>
  <dimension ref="A1:J343"/>
  <sheetViews>
    <sheetView view="pageBreakPreview" zoomScale="70" zoomScaleNormal="75" zoomScaleSheetLayoutView="70" zoomScalePageLayoutView="0" workbookViewId="0" topLeftCell="A1">
      <pane xSplit="2" ySplit="6" topLeftCell="C67" activePane="bottomRight" state="frozen"/>
      <selection pane="topLeft" activeCell="A1" sqref="A1"/>
      <selection pane="topRight" activeCell="A1" sqref="A1"/>
      <selection pane="bottomLeft" activeCell="A1" sqref="A1"/>
      <selection pane="bottomRight" activeCell="I82" sqref="I82"/>
    </sheetView>
  </sheetViews>
  <sheetFormatPr defaultColWidth="9.00390625" defaultRowHeight="12.75"/>
  <cols>
    <col min="1" max="1" width="92.125" style="57" customWidth="1"/>
    <col min="2" max="2" width="15.625" style="16" customWidth="1"/>
    <col min="3" max="3" width="20.375" style="16" customWidth="1"/>
    <col min="4" max="4" width="18.125" style="16" customWidth="1"/>
    <col min="5" max="5" width="15.125" style="16" customWidth="1"/>
    <col min="6" max="6" width="17.75390625" style="16" customWidth="1"/>
    <col min="7" max="7" width="17.875" style="16" customWidth="1"/>
    <col min="8" max="8" width="17.375" style="16" customWidth="1"/>
    <col min="9" max="9" width="131.25390625" style="16" customWidth="1"/>
    <col min="10" max="10" width="26.75390625" style="57" customWidth="1"/>
    <col min="11" max="11" width="17.75390625" style="57" bestFit="1" customWidth="1"/>
    <col min="12" max="12" width="16.00390625" style="57" bestFit="1" customWidth="1"/>
    <col min="13" max="13" width="9.125" style="57" bestFit="1" customWidth="1"/>
    <col min="14" max="16384" width="9.125" style="57" customWidth="1"/>
  </cols>
  <sheetData>
    <row r="1" spans="1:9" ht="20.25">
      <c r="A1" s="350" t="s">
        <v>520</v>
      </c>
      <c r="B1" s="350"/>
      <c r="C1" s="350"/>
      <c r="D1" s="350"/>
      <c r="E1" s="350"/>
      <c r="F1" s="350"/>
      <c r="G1" s="350"/>
      <c r="H1" s="350"/>
      <c r="I1" s="350"/>
    </row>
    <row r="2" spans="1:9" ht="12.75" customHeight="1">
      <c r="A2" s="161"/>
      <c r="B2" s="31"/>
      <c r="C2" s="31"/>
      <c r="D2" s="31"/>
      <c r="E2" s="31"/>
      <c r="F2" s="31"/>
      <c r="G2" s="31"/>
      <c r="H2" s="31"/>
      <c r="I2" s="31"/>
    </row>
    <row r="3" spans="1:9" ht="39" customHeight="1">
      <c r="A3" s="345" t="s">
        <v>38</v>
      </c>
      <c r="B3" s="326" t="s">
        <v>39</v>
      </c>
      <c r="C3" s="326" t="s">
        <v>197</v>
      </c>
      <c r="D3" s="326"/>
      <c r="E3" s="345" t="s">
        <v>41</v>
      </c>
      <c r="F3" s="345"/>
      <c r="G3" s="345"/>
      <c r="H3" s="345"/>
      <c r="I3" s="345"/>
    </row>
    <row r="4" spans="1:9" ht="37.5">
      <c r="A4" s="345"/>
      <c r="B4" s="326"/>
      <c r="C4" s="13" t="s">
        <v>42</v>
      </c>
      <c r="D4" s="13" t="s">
        <v>43</v>
      </c>
      <c r="E4" s="13" t="s">
        <v>44</v>
      </c>
      <c r="F4" s="13" t="s">
        <v>45</v>
      </c>
      <c r="G4" s="104" t="s">
        <v>46</v>
      </c>
      <c r="H4" s="104" t="s">
        <v>47</v>
      </c>
      <c r="I4" s="13" t="s">
        <v>198</v>
      </c>
    </row>
    <row r="5" spans="1:9" ht="18.75">
      <c r="A5" s="22">
        <v>1</v>
      </c>
      <c r="B5" s="13">
        <v>2</v>
      </c>
      <c r="C5" s="22">
        <v>3</v>
      </c>
      <c r="D5" s="13">
        <v>4</v>
      </c>
      <c r="E5" s="22">
        <v>5</v>
      </c>
      <c r="F5" s="13">
        <v>6</v>
      </c>
      <c r="G5" s="22">
        <v>7</v>
      </c>
      <c r="H5" s="13">
        <v>8</v>
      </c>
      <c r="I5" s="22">
        <v>9</v>
      </c>
    </row>
    <row r="6" spans="1:9" s="59" customFormat="1" ht="24.75" customHeight="1">
      <c r="A6" s="351" t="s">
        <v>199</v>
      </c>
      <c r="B6" s="351"/>
      <c r="C6" s="351"/>
      <c r="D6" s="351"/>
      <c r="E6" s="351"/>
      <c r="F6" s="351"/>
      <c r="G6" s="351"/>
      <c r="H6" s="351"/>
      <c r="I6" s="351"/>
    </row>
    <row r="7" spans="1:9" s="59" customFormat="1" ht="45.75" customHeight="1">
      <c r="A7" s="162" t="s">
        <v>200</v>
      </c>
      <c r="B7" s="163">
        <v>1000</v>
      </c>
      <c r="C7" s="164">
        <v>10930.9</v>
      </c>
      <c r="D7" s="164">
        <f>5865.1+6153.3</f>
        <v>12018.400000000001</v>
      </c>
      <c r="E7" s="164">
        <v>6350</v>
      </c>
      <c r="F7" s="312">
        <f>6153.3</f>
        <v>6153.3</v>
      </c>
      <c r="G7" s="165">
        <f aca="true" t="shared" si="0" ref="G7:G16">F7-E7</f>
        <v>-196.69999999999982</v>
      </c>
      <c r="H7" s="166">
        <f aca="true" t="shared" si="1" ref="H7:H15">(F7/E7)*100</f>
        <v>96.90236220472441</v>
      </c>
      <c r="I7" s="177" t="s">
        <v>510</v>
      </c>
    </row>
    <row r="8" spans="1:9" ht="42" customHeight="1">
      <c r="A8" s="162" t="s">
        <v>201</v>
      </c>
      <c r="B8" s="163">
        <v>1010</v>
      </c>
      <c r="C8" s="54">
        <f>SUM(C9:C16)</f>
        <v>-7900.4</v>
      </c>
      <c r="D8" s="54">
        <f>SUM(D9:D16)</f>
        <v>-11120.9</v>
      </c>
      <c r="E8" s="54">
        <f>SUM(E9:E16)</f>
        <v>-5300</v>
      </c>
      <c r="F8" s="54">
        <f>SUM(F9:F16)</f>
        <v>-6617.8</v>
      </c>
      <c r="G8" s="165">
        <f t="shared" si="0"/>
        <v>-1317.8000000000002</v>
      </c>
      <c r="H8" s="166">
        <f t="shared" si="1"/>
        <v>124.86415094339623</v>
      </c>
      <c r="I8" s="177"/>
    </row>
    <row r="9" spans="1:9" s="6" customFormat="1" ht="80.25" customHeight="1">
      <c r="A9" s="167" t="s">
        <v>202</v>
      </c>
      <c r="B9" s="168">
        <v>1011</v>
      </c>
      <c r="C9" s="165">
        <v>-318.2</v>
      </c>
      <c r="D9" s="165">
        <f>-255.4-233.5</f>
        <v>-488.9</v>
      </c>
      <c r="E9" s="165">
        <f>-50</f>
        <v>-50</v>
      </c>
      <c r="F9" s="165">
        <f>-99.2-8.3-126</f>
        <v>-233.5</v>
      </c>
      <c r="G9" s="165">
        <f t="shared" si="0"/>
        <v>-183.5</v>
      </c>
      <c r="H9" s="166">
        <f t="shared" si="1"/>
        <v>467</v>
      </c>
      <c r="I9" s="178" t="s">
        <v>516</v>
      </c>
    </row>
    <row r="10" spans="1:9" s="6" customFormat="1" ht="19.5" customHeight="1">
      <c r="A10" s="167" t="s">
        <v>203</v>
      </c>
      <c r="B10" s="168">
        <v>1012</v>
      </c>
      <c r="C10" s="169" t="s">
        <v>204</v>
      </c>
      <c r="D10" s="169" t="s">
        <v>204</v>
      </c>
      <c r="E10" s="169" t="s">
        <v>204</v>
      </c>
      <c r="F10" s="169" t="s">
        <v>204</v>
      </c>
      <c r="G10" s="169" t="e">
        <f t="shared" si="0"/>
        <v>#VALUE!</v>
      </c>
      <c r="H10" s="170" t="e">
        <f t="shared" si="1"/>
        <v>#VALUE!</v>
      </c>
      <c r="I10" s="177"/>
    </row>
    <row r="11" spans="1:9" s="6" customFormat="1" ht="19.5" customHeight="1">
      <c r="A11" s="167" t="s">
        <v>205</v>
      </c>
      <c r="B11" s="168">
        <v>1013</v>
      </c>
      <c r="C11" s="169" t="s">
        <v>204</v>
      </c>
      <c r="D11" s="169" t="s">
        <v>204</v>
      </c>
      <c r="E11" s="169" t="s">
        <v>204</v>
      </c>
      <c r="F11" s="169" t="s">
        <v>204</v>
      </c>
      <c r="G11" s="169" t="e">
        <f t="shared" si="0"/>
        <v>#VALUE!</v>
      </c>
      <c r="H11" s="170" t="e">
        <f t="shared" si="1"/>
        <v>#VALUE!</v>
      </c>
      <c r="I11" s="178"/>
    </row>
    <row r="12" spans="1:9" s="6" customFormat="1" ht="93" customHeight="1">
      <c r="A12" s="167" t="s">
        <v>88</v>
      </c>
      <c r="B12" s="168">
        <v>1014</v>
      </c>
      <c r="C12" s="165">
        <v>-5104.9</v>
      </c>
      <c r="D12" s="165">
        <f>-3074.9-4419.5</f>
        <v>-7494.4</v>
      </c>
      <c r="E12" s="165">
        <v>-3820</v>
      </c>
      <c r="F12" s="165">
        <v>-4419.5</v>
      </c>
      <c r="G12" s="165">
        <f t="shared" si="0"/>
        <v>-599.5</v>
      </c>
      <c r="H12" s="166">
        <f t="shared" si="1"/>
        <v>115.69371727748691</v>
      </c>
      <c r="I12" s="178" t="s">
        <v>531</v>
      </c>
    </row>
    <row r="13" spans="1:9" s="6" customFormat="1" ht="33" customHeight="1">
      <c r="A13" s="167" t="s">
        <v>89</v>
      </c>
      <c r="B13" s="168">
        <v>1015</v>
      </c>
      <c r="C13" s="165">
        <v>-1079.4</v>
      </c>
      <c r="D13" s="165">
        <f>-638.9-924.8</f>
        <v>-1563.6999999999998</v>
      </c>
      <c r="E13" s="165">
        <v>-840</v>
      </c>
      <c r="F13" s="165">
        <v>-924.8</v>
      </c>
      <c r="G13" s="165">
        <f t="shared" si="0"/>
        <v>-84.79999999999995</v>
      </c>
      <c r="H13" s="166">
        <f t="shared" si="1"/>
        <v>110.09523809523809</v>
      </c>
      <c r="I13" s="178" t="s">
        <v>511</v>
      </c>
    </row>
    <row r="14" spans="1:9" s="6" customFormat="1" ht="60.75">
      <c r="A14" s="167" t="s">
        <v>206</v>
      </c>
      <c r="B14" s="168">
        <v>1016</v>
      </c>
      <c r="C14" s="165">
        <v>-165.5</v>
      </c>
      <c r="D14" s="165">
        <f>-33-15</f>
        <v>-48</v>
      </c>
      <c r="E14" s="165">
        <f>-100</f>
        <v>-100</v>
      </c>
      <c r="F14" s="165">
        <v>-15</v>
      </c>
      <c r="G14" s="165">
        <f t="shared" si="0"/>
        <v>85</v>
      </c>
      <c r="H14" s="166">
        <f t="shared" si="1"/>
        <v>15</v>
      </c>
      <c r="I14" s="178" t="s">
        <v>515</v>
      </c>
    </row>
    <row r="15" spans="1:9" s="6" customFormat="1" ht="43.5" customHeight="1">
      <c r="A15" s="167" t="s">
        <v>207</v>
      </c>
      <c r="B15" s="168">
        <v>1017</v>
      </c>
      <c r="C15" s="165">
        <v>-430.9</v>
      </c>
      <c r="D15" s="165">
        <f>-49-324.5</f>
        <v>-373.5</v>
      </c>
      <c r="E15" s="165">
        <v>-320</v>
      </c>
      <c r="F15" s="165">
        <v>-324.5</v>
      </c>
      <c r="G15" s="165">
        <f t="shared" si="0"/>
        <v>-4.5</v>
      </c>
      <c r="H15" s="166">
        <f t="shared" si="1"/>
        <v>101.40625000000001</v>
      </c>
      <c r="I15" s="178" t="s">
        <v>512</v>
      </c>
    </row>
    <row r="16" spans="1:9" s="6" customFormat="1" ht="30" customHeight="1">
      <c r="A16" s="171" t="s">
        <v>208</v>
      </c>
      <c r="B16" s="168">
        <v>1018</v>
      </c>
      <c r="C16" s="165">
        <v>-801.5</v>
      </c>
      <c r="D16" s="165">
        <f>SUM(D17:D19)</f>
        <v>-1152.3999999999999</v>
      </c>
      <c r="E16" s="165">
        <f>SUM(E17:E19)</f>
        <v>-170</v>
      </c>
      <c r="F16" s="165">
        <f>SUM(F17:F19)</f>
        <v>-700.5000000000001</v>
      </c>
      <c r="G16" s="165">
        <f t="shared" si="0"/>
        <v>-530.5000000000001</v>
      </c>
      <c r="H16" s="165" t="e">
        <f>SUM(#REF!)</f>
        <v>#REF!</v>
      </c>
      <c r="I16" s="178" t="s">
        <v>532</v>
      </c>
    </row>
    <row r="17" spans="1:9" s="6" customFormat="1" ht="30" customHeight="1">
      <c r="A17" s="305" t="s">
        <v>450</v>
      </c>
      <c r="B17" s="13" t="s">
        <v>451</v>
      </c>
      <c r="C17" s="165">
        <v>0</v>
      </c>
      <c r="D17" s="165">
        <f>-26.3-2.2</f>
        <v>-28.5</v>
      </c>
      <c r="E17" s="165">
        <v>-10</v>
      </c>
      <c r="F17" s="165">
        <v>-2.2</v>
      </c>
      <c r="G17" s="165"/>
      <c r="H17" s="165"/>
      <c r="I17" s="178"/>
    </row>
    <row r="18" spans="1:9" s="6" customFormat="1" ht="30" customHeight="1">
      <c r="A18" s="306" t="s">
        <v>452</v>
      </c>
      <c r="B18" s="13" t="s">
        <v>453</v>
      </c>
      <c r="C18" s="165">
        <v>0</v>
      </c>
      <c r="D18" s="165">
        <f>-373.4-633.2</f>
        <v>-1006.6</v>
      </c>
      <c r="E18" s="165">
        <v>-100</v>
      </c>
      <c r="F18" s="165">
        <v>-633.2</v>
      </c>
      <c r="G18" s="165"/>
      <c r="H18" s="165"/>
      <c r="I18" s="178"/>
    </row>
    <row r="19" spans="1:9" s="6" customFormat="1" ht="30" customHeight="1">
      <c r="A19" s="306" t="s">
        <v>454</v>
      </c>
      <c r="B19" s="13" t="s">
        <v>455</v>
      </c>
      <c r="C19" s="165">
        <v>0</v>
      </c>
      <c r="D19" s="165">
        <f>-52.2-65.1</f>
        <v>-117.3</v>
      </c>
      <c r="E19" s="165">
        <v>-60</v>
      </c>
      <c r="F19" s="165">
        <v>-65.1</v>
      </c>
      <c r="G19" s="165"/>
      <c r="H19" s="165"/>
      <c r="I19" s="178"/>
    </row>
    <row r="20" spans="1:9" s="59" customFormat="1" ht="25.5" customHeight="1">
      <c r="A20" s="162" t="s">
        <v>209</v>
      </c>
      <c r="B20" s="172">
        <v>1020</v>
      </c>
      <c r="C20" s="173">
        <f>SUM(C7,C8)</f>
        <v>3030.5</v>
      </c>
      <c r="D20" s="173">
        <f>SUM(D7,D8)</f>
        <v>897.5000000000018</v>
      </c>
      <c r="E20" s="173">
        <f>SUM(E7,E8)</f>
        <v>1050</v>
      </c>
      <c r="F20" s="173">
        <f>SUM(F7,F8)</f>
        <v>-464.5</v>
      </c>
      <c r="G20" s="164">
        <f aca="true" t="shared" si="2" ref="G20:G43">F20-E20</f>
        <v>-1514.5</v>
      </c>
      <c r="H20" s="174">
        <f aca="true" t="shared" si="3" ref="H20:H43">(F20/E20)*100</f>
        <v>-44.23809523809524</v>
      </c>
      <c r="I20" s="315"/>
    </row>
    <row r="21" spans="1:9" ht="30" customHeight="1">
      <c r="A21" s="162" t="s">
        <v>210</v>
      </c>
      <c r="B21" s="163">
        <v>1030</v>
      </c>
      <c r="C21" s="175">
        <f>SUM(C22:C41,C43)</f>
        <v>-1166.5</v>
      </c>
      <c r="D21" s="175">
        <f>SUM(D22:D41,D43)</f>
        <v>-2104.5</v>
      </c>
      <c r="E21" s="175">
        <f>SUM(E22:E41,E43)</f>
        <v>-1105</v>
      </c>
      <c r="F21" s="175">
        <f>SUM(F22:F41,F43)</f>
        <v>-1130.5000000000002</v>
      </c>
      <c r="G21" s="165">
        <f t="shared" si="2"/>
        <v>-25.500000000000227</v>
      </c>
      <c r="H21" s="166">
        <f t="shared" si="3"/>
        <v>102.30769230769232</v>
      </c>
      <c r="I21" s="179"/>
    </row>
    <row r="22" spans="1:9" ht="19.5" customHeight="1">
      <c r="A22" s="167" t="s">
        <v>53</v>
      </c>
      <c r="B22" s="163">
        <v>1031</v>
      </c>
      <c r="C22" s="165" t="s">
        <v>204</v>
      </c>
      <c r="D22" s="165" t="s">
        <v>204</v>
      </c>
      <c r="E22" s="165" t="s">
        <v>204</v>
      </c>
      <c r="F22" s="165" t="s">
        <v>204</v>
      </c>
      <c r="G22" s="165" t="e">
        <f t="shared" si="2"/>
        <v>#VALUE!</v>
      </c>
      <c r="H22" s="166" t="e">
        <f t="shared" si="3"/>
        <v>#VALUE!</v>
      </c>
      <c r="I22" s="177"/>
    </row>
    <row r="23" spans="1:9" ht="19.5" customHeight="1">
      <c r="A23" s="167" t="s">
        <v>54</v>
      </c>
      <c r="B23" s="163">
        <v>1032</v>
      </c>
      <c r="C23" s="165" t="s">
        <v>204</v>
      </c>
      <c r="D23" s="165" t="s">
        <v>204</v>
      </c>
      <c r="E23" s="165" t="s">
        <v>204</v>
      </c>
      <c r="F23" s="165" t="s">
        <v>204</v>
      </c>
      <c r="G23" s="165" t="e">
        <f t="shared" si="2"/>
        <v>#VALUE!</v>
      </c>
      <c r="H23" s="166" t="e">
        <f t="shared" si="3"/>
        <v>#VALUE!</v>
      </c>
      <c r="I23" s="177"/>
    </row>
    <row r="24" spans="1:9" ht="19.5" customHeight="1">
      <c r="A24" s="167" t="s">
        <v>55</v>
      </c>
      <c r="B24" s="163">
        <v>1033</v>
      </c>
      <c r="C24" s="165" t="s">
        <v>204</v>
      </c>
      <c r="D24" s="165" t="s">
        <v>204</v>
      </c>
      <c r="E24" s="165" t="s">
        <v>204</v>
      </c>
      <c r="F24" s="165" t="s">
        <v>204</v>
      </c>
      <c r="G24" s="165" t="e">
        <f t="shared" si="2"/>
        <v>#VALUE!</v>
      </c>
      <c r="H24" s="166" t="e">
        <f t="shared" si="3"/>
        <v>#VALUE!</v>
      </c>
      <c r="I24" s="177"/>
    </row>
    <row r="25" spans="1:9" ht="19.5" customHeight="1">
      <c r="A25" s="167" t="s">
        <v>56</v>
      </c>
      <c r="B25" s="163">
        <v>1034</v>
      </c>
      <c r="C25" s="165" t="s">
        <v>204</v>
      </c>
      <c r="D25" s="165" t="s">
        <v>204</v>
      </c>
      <c r="E25" s="165" t="s">
        <v>204</v>
      </c>
      <c r="F25" s="165" t="s">
        <v>204</v>
      </c>
      <c r="G25" s="165" t="e">
        <f t="shared" si="2"/>
        <v>#VALUE!</v>
      </c>
      <c r="H25" s="166" t="e">
        <f t="shared" si="3"/>
        <v>#VALUE!</v>
      </c>
      <c r="I25" s="177"/>
    </row>
    <row r="26" spans="1:9" ht="28.5" customHeight="1">
      <c r="A26" s="167" t="s">
        <v>57</v>
      </c>
      <c r="B26" s="163">
        <v>1035</v>
      </c>
      <c r="C26" s="165" t="s">
        <v>204</v>
      </c>
      <c r="D26" s="165" t="s">
        <v>204</v>
      </c>
      <c r="E26" s="165">
        <v>0</v>
      </c>
      <c r="F26" s="165" t="s">
        <v>204</v>
      </c>
      <c r="G26" s="165" t="e">
        <f t="shared" si="2"/>
        <v>#VALUE!</v>
      </c>
      <c r="H26" s="166" t="e">
        <f t="shared" si="3"/>
        <v>#VALUE!</v>
      </c>
      <c r="I26" s="177"/>
    </row>
    <row r="27" spans="1:9" s="6" customFormat="1" ht="36.75" customHeight="1">
      <c r="A27" s="167" t="s">
        <v>211</v>
      </c>
      <c r="B27" s="163">
        <v>1036</v>
      </c>
      <c r="C27" s="165">
        <v>-15.3</v>
      </c>
      <c r="D27" s="165">
        <f>-4.1-5.7</f>
        <v>-9.8</v>
      </c>
      <c r="E27" s="165">
        <v>-10</v>
      </c>
      <c r="F27" s="165">
        <v>-5.7</v>
      </c>
      <c r="G27" s="165">
        <f t="shared" si="2"/>
        <v>4.3</v>
      </c>
      <c r="H27" s="166">
        <f t="shared" si="3"/>
        <v>57.00000000000001</v>
      </c>
      <c r="I27" s="177" t="s">
        <v>212</v>
      </c>
    </row>
    <row r="28" spans="1:9" s="6" customFormat="1" ht="28.5" customHeight="1">
      <c r="A28" s="167" t="s">
        <v>213</v>
      </c>
      <c r="B28" s="163">
        <v>1037</v>
      </c>
      <c r="C28" s="165">
        <v>-2.1</v>
      </c>
      <c r="D28" s="165">
        <f>-1.4-13.6</f>
        <v>-15</v>
      </c>
      <c r="E28" s="165">
        <v>-6</v>
      </c>
      <c r="F28" s="165">
        <f>-1.4-12.2</f>
        <v>-13.6</v>
      </c>
      <c r="G28" s="165">
        <f t="shared" si="2"/>
        <v>-7.6</v>
      </c>
      <c r="H28" s="166">
        <f t="shared" si="3"/>
        <v>226.66666666666666</v>
      </c>
      <c r="I28" s="180" t="s">
        <v>528</v>
      </c>
    </row>
    <row r="29" spans="1:10" s="6" customFormat="1" ht="66.75" customHeight="1">
      <c r="A29" s="167" t="s">
        <v>214</v>
      </c>
      <c r="B29" s="163">
        <v>1038</v>
      </c>
      <c r="C29" s="165">
        <v>-729</v>
      </c>
      <c r="D29" s="165">
        <f>-684.1-800.7</f>
        <v>-1484.8000000000002</v>
      </c>
      <c r="E29" s="165">
        <v>-800</v>
      </c>
      <c r="F29" s="165">
        <v>-800.7</v>
      </c>
      <c r="G29" s="165">
        <f t="shared" si="2"/>
        <v>-0.7000000000000455</v>
      </c>
      <c r="H29" s="166">
        <f t="shared" si="3"/>
        <v>100.08749999999999</v>
      </c>
      <c r="I29" s="180" t="s">
        <v>533</v>
      </c>
      <c r="J29" s="181"/>
    </row>
    <row r="30" spans="1:9" s="6" customFormat="1" ht="28.5" customHeight="1">
      <c r="A30" s="167" t="s">
        <v>215</v>
      </c>
      <c r="B30" s="163">
        <v>1039</v>
      </c>
      <c r="C30" s="165">
        <v>-146.5</v>
      </c>
      <c r="D30" s="165">
        <f>-137.1-163.9</f>
        <v>-301</v>
      </c>
      <c r="E30" s="165">
        <v>-160</v>
      </c>
      <c r="F30" s="165">
        <v>-163.9</v>
      </c>
      <c r="G30" s="165">
        <f t="shared" si="2"/>
        <v>-3.9000000000000057</v>
      </c>
      <c r="H30" s="166">
        <f t="shared" si="3"/>
        <v>102.4375</v>
      </c>
      <c r="I30" s="178" t="s">
        <v>513</v>
      </c>
    </row>
    <row r="31" spans="1:9" s="6" customFormat="1" ht="57.75" customHeight="1">
      <c r="A31" s="167" t="s">
        <v>216</v>
      </c>
      <c r="B31" s="163">
        <v>1040</v>
      </c>
      <c r="C31" s="165">
        <v>-69.3</v>
      </c>
      <c r="D31" s="165">
        <f>-31.4-14.5</f>
        <v>-45.9</v>
      </c>
      <c r="E31" s="165">
        <v>-30</v>
      </c>
      <c r="F31" s="165">
        <v>-14.5</v>
      </c>
      <c r="G31" s="165">
        <f t="shared" si="2"/>
        <v>15.5</v>
      </c>
      <c r="H31" s="166">
        <f t="shared" si="3"/>
        <v>48.333333333333336</v>
      </c>
      <c r="I31" s="178" t="s">
        <v>512</v>
      </c>
    </row>
    <row r="32" spans="1:9" s="6" customFormat="1" ht="42.75" customHeight="1">
      <c r="A32" s="167" t="s">
        <v>217</v>
      </c>
      <c r="B32" s="163">
        <v>1041</v>
      </c>
      <c r="C32" s="165" t="s">
        <v>204</v>
      </c>
      <c r="D32" s="165" t="s">
        <v>204</v>
      </c>
      <c r="E32" s="165" t="s">
        <v>204</v>
      </c>
      <c r="F32" s="165" t="s">
        <v>204</v>
      </c>
      <c r="G32" s="165" t="e">
        <f t="shared" si="2"/>
        <v>#VALUE!</v>
      </c>
      <c r="H32" s="166" t="e">
        <f t="shared" si="3"/>
        <v>#VALUE!</v>
      </c>
      <c r="I32" s="169"/>
    </row>
    <row r="33" spans="1:9" s="6" customFormat="1" ht="37.5" customHeight="1">
      <c r="A33" s="167" t="s">
        <v>218</v>
      </c>
      <c r="B33" s="163">
        <v>1042</v>
      </c>
      <c r="C33" s="165">
        <v>-0.3</v>
      </c>
      <c r="D33" s="165">
        <v>0</v>
      </c>
      <c r="E33" s="165">
        <v>0</v>
      </c>
      <c r="F33" s="165" t="s">
        <v>204</v>
      </c>
      <c r="G33" s="165" t="e">
        <f t="shared" si="2"/>
        <v>#VALUE!</v>
      </c>
      <c r="H33" s="166" t="e">
        <f t="shared" si="3"/>
        <v>#VALUE!</v>
      </c>
      <c r="I33" s="182" t="s">
        <v>219</v>
      </c>
    </row>
    <row r="34" spans="1:9" s="6" customFormat="1" ht="24.75" customHeight="1">
      <c r="A34" s="167" t="s">
        <v>220</v>
      </c>
      <c r="B34" s="163">
        <v>1043</v>
      </c>
      <c r="C34" s="165" t="s">
        <v>204</v>
      </c>
      <c r="D34" s="165" t="s">
        <v>204</v>
      </c>
      <c r="E34" s="165" t="s">
        <v>204</v>
      </c>
      <c r="F34" s="165" t="s">
        <v>204</v>
      </c>
      <c r="G34" s="165" t="e">
        <f t="shared" si="2"/>
        <v>#VALUE!</v>
      </c>
      <c r="H34" s="166" t="e">
        <f t="shared" si="3"/>
        <v>#VALUE!</v>
      </c>
      <c r="I34" s="169"/>
    </row>
    <row r="35" spans="1:9" s="6" customFormat="1" ht="21.75" customHeight="1">
      <c r="A35" s="167" t="s">
        <v>221</v>
      </c>
      <c r="B35" s="163">
        <v>1044</v>
      </c>
      <c r="C35" s="165" t="s">
        <v>204</v>
      </c>
      <c r="D35" s="165" t="s">
        <v>204</v>
      </c>
      <c r="E35" s="165" t="s">
        <v>204</v>
      </c>
      <c r="F35" s="165" t="s">
        <v>204</v>
      </c>
      <c r="G35" s="165" t="e">
        <f t="shared" si="2"/>
        <v>#VALUE!</v>
      </c>
      <c r="H35" s="166" t="e">
        <f t="shared" si="3"/>
        <v>#VALUE!</v>
      </c>
      <c r="I35" s="169"/>
    </row>
    <row r="36" spans="1:9" s="6" customFormat="1" ht="24" customHeight="1">
      <c r="A36" s="167" t="s">
        <v>222</v>
      </c>
      <c r="B36" s="163">
        <v>1045</v>
      </c>
      <c r="C36" s="165">
        <v>-48.6</v>
      </c>
      <c r="D36" s="165">
        <f>-23-25</f>
        <v>-48</v>
      </c>
      <c r="E36" s="165">
        <v>-10</v>
      </c>
      <c r="F36" s="165">
        <f>-14.3-10.7</f>
        <v>-25</v>
      </c>
      <c r="G36" s="165">
        <f t="shared" si="2"/>
        <v>-15</v>
      </c>
      <c r="H36" s="166">
        <f t="shared" si="3"/>
        <v>250</v>
      </c>
      <c r="I36" s="182" t="s">
        <v>534</v>
      </c>
    </row>
    <row r="37" spans="1:9" s="6" customFormat="1" ht="26.25" customHeight="1">
      <c r="A37" s="167" t="s">
        <v>223</v>
      </c>
      <c r="B37" s="163">
        <v>1046</v>
      </c>
      <c r="C37" s="165">
        <v>-24.4</v>
      </c>
      <c r="D37" s="165">
        <f>-24-36</f>
        <v>-60</v>
      </c>
      <c r="E37" s="165">
        <v>-40</v>
      </c>
      <c r="F37" s="165">
        <v>-36</v>
      </c>
      <c r="G37" s="165">
        <f t="shared" si="2"/>
        <v>4</v>
      </c>
      <c r="H37" s="166">
        <f t="shared" si="3"/>
        <v>90</v>
      </c>
      <c r="I37" s="182" t="s">
        <v>517</v>
      </c>
    </row>
    <row r="38" spans="1:9" s="6" customFormat="1" ht="19.5" customHeight="1">
      <c r="A38" s="167" t="s">
        <v>224</v>
      </c>
      <c r="B38" s="163">
        <v>1047</v>
      </c>
      <c r="C38" s="165" t="s">
        <v>204</v>
      </c>
      <c r="D38" s="165" t="s">
        <v>204</v>
      </c>
      <c r="E38" s="165" t="s">
        <v>204</v>
      </c>
      <c r="F38" s="165" t="s">
        <v>204</v>
      </c>
      <c r="G38" s="165" t="e">
        <f t="shared" si="2"/>
        <v>#VALUE!</v>
      </c>
      <c r="H38" s="166" t="e">
        <f t="shared" si="3"/>
        <v>#VALUE!</v>
      </c>
      <c r="I38" s="169"/>
    </row>
    <row r="39" spans="1:10" s="6" customFormat="1" ht="30" customHeight="1">
      <c r="A39" s="167" t="s">
        <v>225</v>
      </c>
      <c r="B39" s="163">
        <v>1048</v>
      </c>
      <c r="C39" s="165">
        <v>-9.7</v>
      </c>
      <c r="D39" s="165">
        <v>-1.6</v>
      </c>
      <c r="E39" s="165">
        <v>-4</v>
      </c>
      <c r="F39" s="165">
        <v>0</v>
      </c>
      <c r="G39" s="165">
        <f t="shared" si="2"/>
        <v>4</v>
      </c>
      <c r="H39" s="166">
        <f t="shared" si="3"/>
        <v>0</v>
      </c>
      <c r="I39" s="178" t="s">
        <v>514</v>
      </c>
      <c r="J39" s="183"/>
    </row>
    <row r="40" spans="1:9" s="6" customFormat="1" ht="27.75" customHeight="1">
      <c r="A40" s="167" t="s">
        <v>226</v>
      </c>
      <c r="B40" s="163">
        <v>1049</v>
      </c>
      <c r="C40" s="165">
        <v>-20.8</v>
      </c>
      <c r="D40" s="165">
        <f>-24.3-27.7</f>
        <v>-52</v>
      </c>
      <c r="E40" s="165">
        <v>-10</v>
      </c>
      <c r="F40" s="165">
        <v>-27.7</v>
      </c>
      <c r="G40" s="165">
        <f t="shared" si="2"/>
        <v>-17.7</v>
      </c>
      <c r="H40" s="166">
        <f t="shared" si="3"/>
        <v>277</v>
      </c>
      <c r="I40" s="177" t="s">
        <v>535</v>
      </c>
    </row>
    <row r="41" spans="1:9" s="6" customFormat="1" ht="39" customHeight="1">
      <c r="A41" s="167" t="s">
        <v>227</v>
      </c>
      <c r="B41" s="163">
        <v>1050</v>
      </c>
      <c r="C41" s="165" t="s">
        <v>204</v>
      </c>
      <c r="D41" s="165" t="s">
        <v>204</v>
      </c>
      <c r="E41" s="165" t="s">
        <v>204</v>
      </c>
      <c r="F41" s="165" t="s">
        <v>204</v>
      </c>
      <c r="G41" s="165" t="e">
        <f t="shared" si="2"/>
        <v>#VALUE!</v>
      </c>
      <c r="H41" s="166" t="e">
        <f t="shared" si="3"/>
        <v>#VALUE!</v>
      </c>
      <c r="I41" s="177"/>
    </row>
    <row r="42" spans="1:9" s="6" customFormat="1" ht="19.5" customHeight="1">
      <c r="A42" s="167" t="s">
        <v>228</v>
      </c>
      <c r="B42" s="163" t="s">
        <v>229</v>
      </c>
      <c r="C42" s="165">
        <v>0</v>
      </c>
      <c r="D42" s="165" t="s">
        <v>204</v>
      </c>
      <c r="E42" s="165" t="s">
        <v>204</v>
      </c>
      <c r="F42" s="165" t="s">
        <v>204</v>
      </c>
      <c r="G42" s="165" t="e">
        <f t="shared" si="2"/>
        <v>#VALUE!</v>
      </c>
      <c r="H42" s="166" t="e">
        <f t="shared" si="3"/>
        <v>#VALUE!</v>
      </c>
      <c r="I42" s="177"/>
    </row>
    <row r="43" spans="1:9" s="6" customFormat="1" ht="47.25" customHeight="1">
      <c r="A43" s="162" t="s">
        <v>230</v>
      </c>
      <c r="B43" s="163">
        <v>1051</v>
      </c>
      <c r="C43" s="165">
        <f>-100.5</f>
        <v>-100.5</v>
      </c>
      <c r="D43" s="165">
        <f>SUM(D44:D46)</f>
        <v>-86.4</v>
      </c>
      <c r="E43" s="165">
        <f>SUM(E44:E46)</f>
        <v>-35</v>
      </c>
      <c r="F43" s="165">
        <f>SUM(F44:F46)</f>
        <v>-43.400000000000006</v>
      </c>
      <c r="G43" s="165">
        <f t="shared" si="2"/>
        <v>-8.400000000000006</v>
      </c>
      <c r="H43" s="166">
        <f t="shared" si="3"/>
        <v>124.00000000000003</v>
      </c>
      <c r="I43" s="177" t="s">
        <v>536</v>
      </c>
    </row>
    <row r="44" spans="1:9" s="6" customFormat="1" ht="27" customHeight="1">
      <c r="A44" s="305" t="s">
        <v>450</v>
      </c>
      <c r="B44" s="22" t="s">
        <v>463</v>
      </c>
      <c r="C44" s="165">
        <v>0</v>
      </c>
      <c r="D44" s="165">
        <v>-9.6</v>
      </c>
      <c r="E44" s="165">
        <v>-10</v>
      </c>
      <c r="F44" s="165">
        <v>0</v>
      </c>
      <c r="G44" s="165"/>
      <c r="H44" s="166"/>
      <c r="I44" s="177"/>
    </row>
    <row r="45" spans="1:9" s="6" customFormat="1" ht="25.5" customHeight="1">
      <c r="A45" s="305" t="s">
        <v>464</v>
      </c>
      <c r="B45" s="22" t="s">
        <v>465</v>
      </c>
      <c r="C45" s="165">
        <v>0</v>
      </c>
      <c r="D45" s="165">
        <f>-11.9-8.8</f>
        <v>-20.700000000000003</v>
      </c>
      <c r="E45" s="165">
        <v>-10</v>
      </c>
      <c r="F45" s="165">
        <v>-8.8</v>
      </c>
      <c r="G45" s="165"/>
      <c r="H45" s="166"/>
      <c r="I45" s="177"/>
    </row>
    <row r="46" spans="1:9" s="6" customFormat="1" ht="24.75" customHeight="1">
      <c r="A46" s="306" t="s">
        <v>527</v>
      </c>
      <c r="B46" s="22" t="s">
        <v>466</v>
      </c>
      <c r="C46" s="165">
        <v>0</v>
      </c>
      <c r="D46" s="165">
        <f>-21.5-34.6</f>
        <v>-56.1</v>
      </c>
      <c r="E46" s="165">
        <v>-15</v>
      </c>
      <c r="F46" s="165">
        <v>-34.6</v>
      </c>
      <c r="G46" s="165"/>
      <c r="H46" s="166"/>
      <c r="I46" s="177" t="s">
        <v>537</v>
      </c>
    </row>
    <row r="47" spans="1:9" ht="19.5" customHeight="1">
      <c r="A47" s="167" t="s">
        <v>231</v>
      </c>
      <c r="B47" s="163">
        <v>1060</v>
      </c>
      <c r="C47" s="175">
        <f>SUM(C48:C54)</f>
        <v>0</v>
      </c>
      <c r="D47" s="175">
        <f>SUM(D48:D54)</f>
        <v>0</v>
      </c>
      <c r="E47" s="175">
        <f>SUM(E48:E54)</f>
        <v>0</v>
      </c>
      <c r="F47" s="175">
        <f>SUM(F48:F54)</f>
        <v>0</v>
      </c>
      <c r="G47" s="165">
        <f aca="true" t="shared" si="4" ref="G47:G58">F47-E47</f>
        <v>0</v>
      </c>
      <c r="H47" s="166" t="e">
        <f aca="true" t="shared" si="5" ref="H47:H58">(F47/E47)*100</f>
        <v>#DIV/0!</v>
      </c>
      <c r="I47" s="177"/>
    </row>
    <row r="48" spans="1:9" s="6" customFormat="1" ht="19.5" customHeight="1">
      <c r="A48" s="167" t="s">
        <v>232</v>
      </c>
      <c r="B48" s="163">
        <v>1061</v>
      </c>
      <c r="C48" s="165" t="s">
        <v>204</v>
      </c>
      <c r="D48" s="165" t="s">
        <v>204</v>
      </c>
      <c r="E48" s="165" t="s">
        <v>204</v>
      </c>
      <c r="F48" s="165" t="s">
        <v>204</v>
      </c>
      <c r="G48" s="165" t="e">
        <f t="shared" si="4"/>
        <v>#VALUE!</v>
      </c>
      <c r="H48" s="166" t="e">
        <f t="shared" si="5"/>
        <v>#VALUE!</v>
      </c>
      <c r="I48" s="177"/>
    </row>
    <row r="49" spans="1:9" s="6" customFormat="1" ht="19.5" customHeight="1">
      <c r="A49" s="167" t="s">
        <v>233</v>
      </c>
      <c r="B49" s="163">
        <v>1062</v>
      </c>
      <c r="C49" s="165" t="s">
        <v>204</v>
      </c>
      <c r="D49" s="165" t="s">
        <v>204</v>
      </c>
      <c r="E49" s="165" t="s">
        <v>204</v>
      </c>
      <c r="F49" s="165" t="s">
        <v>204</v>
      </c>
      <c r="G49" s="165" t="e">
        <f t="shared" si="4"/>
        <v>#VALUE!</v>
      </c>
      <c r="H49" s="166" t="e">
        <f t="shared" si="5"/>
        <v>#VALUE!</v>
      </c>
      <c r="I49" s="177"/>
    </row>
    <row r="50" spans="1:9" s="6" customFormat="1" ht="19.5" customHeight="1">
      <c r="A50" s="167" t="s">
        <v>214</v>
      </c>
      <c r="B50" s="163">
        <v>1063</v>
      </c>
      <c r="C50" s="165" t="s">
        <v>204</v>
      </c>
      <c r="D50" s="165" t="s">
        <v>204</v>
      </c>
      <c r="E50" s="165" t="s">
        <v>204</v>
      </c>
      <c r="F50" s="165" t="s">
        <v>204</v>
      </c>
      <c r="G50" s="165" t="e">
        <f t="shared" si="4"/>
        <v>#VALUE!</v>
      </c>
      <c r="H50" s="166" t="e">
        <f t="shared" si="5"/>
        <v>#VALUE!</v>
      </c>
      <c r="I50" s="177"/>
    </row>
    <row r="51" spans="1:9" s="6" customFormat="1" ht="19.5" customHeight="1">
      <c r="A51" s="167" t="s">
        <v>215</v>
      </c>
      <c r="B51" s="163">
        <v>1064</v>
      </c>
      <c r="C51" s="165" t="s">
        <v>204</v>
      </c>
      <c r="D51" s="165" t="s">
        <v>204</v>
      </c>
      <c r="E51" s="165" t="s">
        <v>204</v>
      </c>
      <c r="F51" s="165" t="s">
        <v>204</v>
      </c>
      <c r="G51" s="165" t="e">
        <f t="shared" si="4"/>
        <v>#VALUE!</v>
      </c>
      <c r="H51" s="166" t="e">
        <f t="shared" si="5"/>
        <v>#VALUE!</v>
      </c>
      <c r="I51" s="177"/>
    </row>
    <row r="52" spans="1:9" s="6" customFormat="1" ht="25.5" customHeight="1">
      <c r="A52" s="167" t="s">
        <v>234</v>
      </c>
      <c r="B52" s="163">
        <v>1065</v>
      </c>
      <c r="C52" s="165" t="s">
        <v>204</v>
      </c>
      <c r="D52" s="165" t="s">
        <v>204</v>
      </c>
      <c r="E52" s="165" t="s">
        <v>204</v>
      </c>
      <c r="F52" s="165" t="s">
        <v>204</v>
      </c>
      <c r="G52" s="165" t="e">
        <f t="shared" si="4"/>
        <v>#VALUE!</v>
      </c>
      <c r="H52" s="166" t="e">
        <f t="shared" si="5"/>
        <v>#VALUE!</v>
      </c>
      <c r="I52" s="177"/>
    </row>
    <row r="53" spans="1:9" s="6" customFormat="1" ht="19.5" customHeight="1">
      <c r="A53" s="167" t="s">
        <v>235</v>
      </c>
      <c r="B53" s="163">
        <v>1066</v>
      </c>
      <c r="C53" s="165" t="s">
        <v>204</v>
      </c>
      <c r="D53" s="165" t="s">
        <v>204</v>
      </c>
      <c r="E53" s="165" t="s">
        <v>204</v>
      </c>
      <c r="F53" s="165" t="s">
        <v>204</v>
      </c>
      <c r="G53" s="165" t="e">
        <f t="shared" si="4"/>
        <v>#VALUE!</v>
      </c>
      <c r="H53" s="166" t="e">
        <f t="shared" si="5"/>
        <v>#VALUE!</v>
      </c>
      <c r="I53" s="177"/>
    </row>
    <row r="54" spans="1:9" s="6" customFormat="1" ht="19.5" customHeight="1">
      <c r="A54" s="167" t="s">
        <v>236</v>
      </c>
      <c r="B54" s="163">
        <v>1067</v>
      </c>
      <c r="C54" s="165" t="s">
        <v>204</v>
      </c>
      <c r="D54" s="165" t="s">
        <v>204</v>
      </c>
      <c r="E54" s="165" t="s">
        <v>204</v>
      </c>
      <c r="F54" s="165" t="s">
        <v>204</v>
      </c>
      <c r="G54" s="165" t="e">
        <f t="shared" si="4"/>
        <v>#VALUE!</v>
      </c>
      <c r="H54" s="166" t="e">
        <f t="shared" si="5"/>
        <v>#VALUE!</v>
      </c>
      <c r="I54" s="177"/>
    </row>
    <row r="55" spans="1:9" s="6" customFormat="1" ht="34.5" customHeight="1">
      <c r="A55" s="162" t="s">
        <v>237</v>
      </c>
      <c r="B55" s="163">
        <v>1070</v>
      </c>
      <c r="C55" s="54">
        <f>SUM(C56:C58)</f>
        <v>1625.4</v>
      </c>
      <c r="D55" s="54">
        <f>SUM(D56:D58)</f>
        <v>5094.700000000001</v>
      </c>
      <c r="E55" s="54">
        <f>SUM(E56:E58)</f>
        <v>230</v>
      </c>
      <c r="F55" s="54">
        <f>SUM(F56:F58)</f>
        <v>3547.8</v>
      </c>
      <c r="G55" s="165">
        <f t="shared" si="4"/>
        <v>3317.8</v>
      </c>
      <c r="H55" s="166">
        <f t="shared" si="5"/>
        <v>1542.521739130435</v>
      </c>
      <c r="I55" s="177"/>
    </row>
    <row r="56" spans="1:9" s="6" customFormat="1" ht="19.5" customHeight="1">
      <c r="A56" s="167" t="s">
        <v>60</v>
      </c>
      <c r="B56" s="163">
        <v>1071</v>
      </c>
      <c r="C56" s="165"/>
      <c r="D56" s="165"/>
      <c r="E56" s="165"/>
      <c r="F56" s="165"/>
      <c r="G56" s="165">
        <f t="shared" si="4"/>
        <v>0</v>
      </c>
      <c r="H56" s="166" t="e">
        <f t="shared" si="5"/>
        <v>#DIV/0!</v>
      </c>
      <c r="I56" s="177"/>
    </row>
    <row r="57" spans="1:9" s="6" customFormat="1" ht="19.5" customHeight="1">
      <c r="A57" s="167" t="s">
        <v>238</v>
      </c>
      <c r="B57" s="163">
        <v>1072</v>
      </c>
      <c r="C57" s="165"/>
      <c r="D57" s="165"/>
      <c r="E57" s="165"/>
      <c r="F57" s="165"/>
      <c r="G57" s="165">
        <f t="shared" si="4"/>
        <v>0</v>
      </c>
      <c r="H57" s="166" t="e">
        <f t="shared" si="5"/>
        <v>#DIV/0!</v>
      </c>
      <c r="I57" s="177"/>
    </row>
    <row r="58" spans="1:9" s="6" customFormat="1" ht="69.75" customHeight="1">
      <c r="A58" s="162" t="s">
        <v>239</v>
      </c>
      <c r="B58" s="163">
        <v>1073</v>
      </c>
      <c r="C58" s="164">
        <v>1625.4</v>
      </c>
      <c r="D58" s="164">
        <f>SUM(D59:D62)</f>
        <v>5094.700000000001</v>
      </c>
      <c r="E58" s="164">
        <f>SUM(E59:E62)</f>
        <v>230</v>
      </c>
      <c r="F58" s="164">
        <f>SUM(F59:F62)</f>
        <v>3547.8</v>
      </c>
      <c r="G58" s="165">
        <f t="shared" si="4"/>
        <v>3317.8</v>
      </c>
      <c r="H58" s="166">
        <f t="shared" si="5"/>
        <v>1542.521739130435</v>
      </c>
      <c r="I58" s="177" t="s">
        <v>538</v>
      </c>
    </row>
    <row r="59" spans="1:9" s="6" customFormat="1" ht="30.75" customHeight="1">
      <c r="A59" s="306" t="s">
        <v>456</v>
      </c>
      <c r="B59" s="22" t="s">
        <v>457</v>
      </c>
      <c r="C59" s="165"/>
      <c r="D59" s="165">
        <f>25.3+33.2</f>
        <v>58.5</v>
      </c>
      <c r="E59" s="165">
        <v>50</v>
      </c>
      <c r="F59" s="165">
        <v>33.2</v>
      </c>
      <c r="G59" s="165"/>
      <c r="H59" s="166"/>
      <c r="I59" s="165"/>
    </row>
    <row r="60" spans="1:9" s="6" customFormat="1" ht="23.25" customHeight="1">
      <c r="A60" s="306" t="s">
        <v>458</v>
      </c>
      <c r="B60" s="22" t="s">
        <v>459</v>
      </c>
      <c r="C60" s="165"/>
      <c r="D60" s="165">
        <f>622.8+1328.3</f>
        <v>1951.1</v>
      </c>
      <c r="E60" s="165">
        <v>0</v>
      </c>
      <c r="F60" s="165">
        <v>1328.3</v>
      </c>
      <c r="G60" s="165"/>
      <c r="H60" s="166"/>
      <c r="I60" s="165"/>
    </row>
    <row r="61" spans="1:9" s="6" customFormat="1" ht="23.25" customHeight="1">
      <c r="A61" s="306" t="s">
        <v>502</v>
      </c>
      <c r="B61" s="22" t="s">
        <v>460</v>
      </c>
      <c r="C61" s="165"/>
      <c r="D61" s="165">
        <f>89+92.3</f>
        <v>181.3</v>
      </c>
      <c r="E61" s="165">
        <v>80</v>
      </c>
      <c r="F61" s="165">
        <v>92.3</v>
      </c>
      <c r="G61" s="165"/>
      <c r="H61" s="166"/>
      <c r="I61" s="165"/>
    </row>
    <row r="62" spans="1:9" s="6" customFormat="1" ht="26.25" customHeight="1">
      <c r="A62" s="306" t="s">
        <v>461</v>
      </c>
      <c r="B62" s="22" t="s">
        <v>462</v>
      </c>
      <c r="C62" s="165"/>
      <c r="D62" s="165">
        <f>809.8+2094</f>
        <v>2903.8</v>
      </c>
      <c r="E62" s="165">
        <v>100</v>
      </c>
      <c r="F62" s="165">
        <v>2094</v>
      </c>
      <c r="G62" s="165"/>
      <c r="H62" s="166"/>
      <c r="I62" s="165"/>
    </row>
    <row r="63" spans="1:9" s="6" customFormat="1" ht="39.75" customHeight="1">
      <c r="A63" s="176" t="s">
        <v>240</v>
      </c>
      <c r="B63" s="163">
        <v>1080</v>
      </c>
      <c r="C63" s="54">
        <f>SUM(C64:C69)</f>
        <v>-1202.1</v>
      </c>
      <c r="D63" s="54">
        <f>SUM(D64:D69)</f>
        <v>-4324.7</v>
      </c>
      <c r="E63" s="54">
        <f>SUM(E64:E69)</f>
        <v>-175</v>
      </c>
      <c r="F63" s="54">
        <f>SUM(F64:F69)</f>
        <v>-3461.7</v>
      </c>
      <c r="G63" s="165">
        <f aca="true" t="shared" si="6" ref="G63:G69">F63-E63</f>
        <v>-3286.7</v>
      </c>
      <c r="H63" s="166">
        <f aca="true" t="shared" si="7" ref="H63:H69">(F63/E63)*100</f>
        <v>1978.1142857142856</v>
      </c>
      <c r="I63" s="177"/>
    </row>
    <row r="64" spans="1:9" s="6" customFormat="1" ht="19.5" customHeight="1">
      <c r="A64" s="167" t="s">
        <v>60</v>
      </c>
      <c r="B64" s="163">
        <v>1081</v>
      </c>
      <c r="C64" s="165" t="s">
        <v>204</v>
      </c>
      <c r="D64" s="165" t="s">
        <v>204</v>
      </c>
      <c r="E64" s="165" t="s">
        <v>204</v>
      </c>
      <c r="F64" s="165" t="s">
        <v>204</v>
      </c>
      <c r="G64" s="165" t="e">
        <f t="shared" si="6"/>
        <v>#VALUE!</v>
      </c>
      <c r="H64" s="166" t="e">
        <f t="shared" si="7"/>
        <v>#VALUE!</v>
      </c>
      <c r="I64" s="177"/>
    </row>
    <row r="65" spans="1:9" s="6" customFormat="1" ht="19.5" customHeight="1">
      <c r="A65" s="167" t="s">
        <v>241</v>
      </c>
      <c r="B65" s="163">
        <v>1082</v>
      </c>
      <c r="C65" s="165" t="s">
        <v>204</v>
      </c>
      <c r="D65" s="165" t="s">
        <v>204</v>
      </c>
      <c r="E65" s="165" t="s">
        <v>204</v>
      </c>
      <c r="F65" s="165" t="s">
        <v>204</v>
      </c>
      <c r="G65" s="165" t="e">
        <f t="shared" si="6"/>
        <v>#VALUE!</v>
      </c>
      <c r="H65" s="166" t="e">
        <f t="shared" si="7"/>
        <v>#VALUE!</v>
      </c>
      <c r="I65" s="177"/>
    </row>
    <row r="66" spans="1:9" s="6" customFormat="1" ht="19.5" customHeight="1">
      <c r="A66" s="167" t="s">
        <v>242</v>
      </c>
      <c r="B66" s="163">
        <v>1083</v>
      </c>
      <c r="C66" s="165" t="s">
        <v>204</v>
      </c>
      <c r="D66" s="165" t="s">
        <v>204</v>
      </c>
      <c r="E66" s="165" t="s">
        <v>204</v>
      </c>
      <c r="F66" s="165" t="s">
        <v>204</v>
      </c>
      <c r="G66" s="165" t="e">
        <f t="shared" si="6"/>
        <v>#VALUE!</v>
      </c>
      <c r="H66" s="166" t="e">
        <f t="shared" si="7"/>
        <v>#VALUE!</v>
      </c>
      <c r="I66" s="177"/>
    </row>
    <row r="67" spans="1:9" s="6" customFormat="1" ht="19.5" customHeight="1">
      <c r="A67" s="167" t="s">
        <v>243</v>
      </c>
      <c r="B67" s="163">
        <v>1084</v>
      </c>
      <c r="C67" s="165" t="s">
        <v>204</v>
      </c>
      <c r="D67" s="165" t="s">
        <v>204</v>
      </c>
      <c r="E67" s="165" t="s">
        <v>204</v>
      </c>
      <c r="F67" s="165" t="s">
        <v>204</v>
      </c>
      <c r="G67" s="165" t="e">
        <f t="shared" si="6"/>
        <v>#VALUE!</v>
      </c>
      <c r="H67" s="166" t="e">
        <f t="shared" si="7"/>
        <v>#VALUE!</v>
      </c>
      <c r="I67" s="177"/>
    </row>
    <row r="68" spans="1:9" s="6" customFormat="1" ht="19.5" customHeight="1">
      <c r="A68" s="167" t="s">
        <v>244</v>
      </c>
      <c r="B68" s="163">
        <v>1085</v>
      </c>
      <c r="C68" s="165" t="s">
        <v>204</v>
      </c>
      <c r="D68" s="165" t="s">
        <v>204</v>
      </c>
      <c r="E68" s="165" t="s">
        <v>204</v>
      </c>
      <c r="F68" s="165" t="s">
        <v>204</v>
      </c>
      <c r="G68" s="165" t="e">
        <f t="shared" si="6"/>
        <v>#VALUE!</v>
      </c>
      <c r="H68" s="166" t="e">
        <f t="shared" si="7"/>
        <v>#VALUE!</v>
      </c>
      <c r="I68" s="177"/>
    </row>
    <row r="69" spans="1:9" s="6" customFormat="1" ht="69.75" customHeight="1">
      <c r="A69" s="162" t="s">
        <v>245</v>
      </c>
      <c r="B69" s="163">
        <v>1086</v>
      </c>
      <c r="C69" s="164">
        <v>-1202.1</v>
      </c>
      <c r="D69" s="164">
        <f>SUM(D70:D76)</f>
        <v>-4324.7</v>
      </c>
      <c r="E69" s="164">
        <f>SUM(E70:E76)</f>
        <v>-175</v>
      </c>
      <c r="F69" s="164">
        <f>SUM(F70:F76)</f>
        <v>-3461.7</v>
      </c>
      <c r="G69" s="165">
        <f t="shared" si="6"/>
        <v>-3286.7</v>
      </c>
      <c r="H69" s="166">
        <f t="shared" si="7"/>
        <v>1978.1142857142856</v>
      </c>
      <c r="I69" s="177" t="s">
        <v>539</v>
      </c>
    </row>
    <row r="70" spans="1:9" s="6" customFormat="1" ht="27.75" customHeight="1">
      <c r="A70" s="307" t="s">
        <v>467</v>
      </c>
      <c r="B70" s="22" t="s">
        <v>468</v>
      </c>
      <c r="C70" s="165" t="s">
        <v>526</v>
      </c>
      <c r="D70" s="165">
        <f>-25.3-33.2</f>
        <v>-58.5</v>
      </c>
      <c r="E70" s="165">
        <v>-50</v>
      </c>
      <c r="F70" s="165">
        <v>-33.2</v>
      </c>
      <c r="G70" s="165"/>
      <c r="H70" s="166"/>
      <c r="I70" s="177"/>
    </row>
    <row r="71" spans="1:9" s="6" customFormat="1" ht="27.75" customHeight="1">
      <c r="A71" s="307" t="s">
        <v>469</v>
      </c>
      <c r="B71" s="22" t="s">
        <v>470</v>
      </c>
      <c r="C71" s="165">
        <v>0</v>
      </c>
      <c r="D71" s="165">
        <f>-622.8-1328.3</f>
        <v>-1951.1</v>
      </c>
      <c r="E71" s="165"/>
      <c r="F71" s="165">
        <v>-1328.3</v>
      </c>
      <c r="G71" s="165"/>
      <c r="H71" s="166"/>
      <c r="I71" s="177"/>
    </row>
    <row r="72" spans="1:9" s="6" customFormat="1" ht="27.75" customHeight="1">
      <c r="A72" s="308" t="s">
        <v>471</v>
      </c>
      <c r="B72" s="22" t="s">
        <v>472</v>
      </c>
      <c r="C72" s="165">
        <v>0</v>
      </c>
      <c r="D72" s="165">
        <f>-25.8-1.7</f>
        <v>-27.5</v>
      </c>
      <c r="E72" s="165"/>
      <c r="F72" s="165">
        <v>-1.7</v>
      </c>
      <c r="G72" s="165"/>
      <c r="H72" s="166"/>
      <c r="I72" s="177"/>
    </row>
    <row r="73" spans="1:9" s="6" customFormat="1" ht="27.75" customHeight="1">
      <c r="A73" s="309" t="s">
        <v>473</v>
      </c>
      <c r="B73" s="22" t="s">
        <v>474</v>
      </c>
      <c r="C73" s="165">
        <v>0</v>
      </c>
      <c r="D73" s="165">
        <f>-26.9-4.5</f>
        <v>-31.4</v>
      </c>
      <c r="E73" s="165"/>
      <c r="F73" s="165">
        <v>-4.5</v>
      </c>
      <c r="G73" s="165"/>
      <c r="H73" s="166"/>
      <c r="I73" s="177"/>
    </row>
    <row r="74" spans="1:9" s="6" customFormat="1" ht="27.75" customHeight="1">
      <c r="A74" s="309" t="s">
        <v>475</v>
      </c>
      <c r="B74" s="22" t="s">
        <v>476</v>
      </c>
      <c r="C74" s="165">
        <v>0</v>
      </c>
      <c r="D74" s="165">
        <v>0</v>
      </c>
      <c r="E74" s="165"/>
      <c r="F74" s="165">
        <v>0</v>
      </c>
      <c r="G74" s="165"/>
      <c r="H74" s="166"/>
      <c r="I74" s="177"/>
    </row>
    <row r="75" spans="1:9" s="6" customFormat="1" ht="27.75" customHeight="1">
      <c r="A75" s="306" t="s">
        <v>477</v>
      </c>
      <c r="B75" s="22" t="s">
        <v>478</v>
      </c>
      <c r="C75" s="165">
        <v>0</v>
      </c>
      <c r="D75" s="165">
        <f>-162.2-2094</f>
        <v>-2256.2</v>
      </c>
      <c r="E75" s="165">
        <v>-100</v>
      </c>
      <c r="F75" s="165">
        <f>-1072.5-1021.5</f>
        <v>-2094</v>
      </c>
      <c r="G75" s="165"/>
      <c r="H75" s="166"/>
      <c r="I75" s="177"/>
    </row>
    <row r="76" spans="1:9" s="6" customFormat="1" ht="27.75" customHeight="1">
      <c r="A76" s="306" t="s">
        <v>479</v>
      </c>
      <c r="B76" s="22" t="s">
        <v>480</v>
      </c>
      <c r="C76" s="165">
        <v>0</v>
      </c>
      <c r="D76" s="165">
        <v>0</v>
      </c>
      <c r="E76" s="165">
        <v>-25</v>
      </c>
      <c r="F76" s="165">
        <v>0</v>
      </c>
      <c r="G76" s="165"/>
      <c r="H76" s="166"/>
      <c r="I76" s="177"/>
    </row>
    <row r="77" spans="1:10" s="59" customFormat="1" ht="33" customHeight="1">
      <c r="A77" s="162" t="s">
        <v>64</v>
      </c>
      <c r="B77" s="172">
        <v>1100</v>
      </c>
      <c r="C77" s="173">
        <f>SUM(C20,C21,C47,C55,C63)</f>
        <v>2287.3</v>
      </c>
      <c r="D77" s="173">
        <f>SUM(D20,D21,D47,D55,D63)</f>
        <v>-436.99999999999727</v>
      </c>
      <c r="E77" s="173">
        <f>SUM(E20,E21,E47,E55,E63)</f>
        <v>0</v>
      </c>
      <c r="F77" s="173">
        <f>SUM(F20,F21,F47,F55,F63)</f>
        <v>-1508.8999999999999</v>
      </c>
      <c r="G77" s="164">
        <f aca="true" t="shared" si="8" ref="G77:G98">F77-E77</f>
        <v>-1508.8999999999999</v>
      </c>
      <c r="H77" s="174" t="e">
        <f aca="true" t="shared" si="9" ref="H77:H88">(F77/E77)*100</f>
        <v>#DIV/0!</v>
      </c>
      <c r="I77" s="184"/>
      <c r="J77" s="57"/>
    </row>
    <row r="78" spans="1:9" ht="19.5" customHeight="1">
      <c r="A78" s="167" t="s">
        <v>246</v>
      </c>
      <c r="B78" s="163">
        <v>1110</v>
      </c>
      <c r="C78" s="165"/>
      <c r="D78" s="165"/>
      <c r="E78" s="165"/>
      <c r="F78" s="165"/>
      <c r="G78" s="165">
        <f t="shared" si="8"/>
        <v>0</v>
      </c>
      <c r="H78" s="166" t="e">
        <f t="shared" si="9"/>
        <v>#DIV/0!</v>
      </c>
      <c r="I78" s="177"/>
    </row>
    <row r="79" spans="1:9" ht="19.5" customHeight="1">
      <c r="A79" s="167" t="s">
        <v>247</v>
      </c>
      <c r="B79" s="163">
        <v>1120</v>
      </c>
      <c r="C79" s="165" t="s">
        <v>204</v>
      </c>
      <c r="D79" s="165" t="s">
        <v>204</v>
      </c>
      <c r="E79" s="165" t="s">
        <v>204</v>
      </c>
      <c r="F79" s="165" t="s">
        <v>204</v>
      </c>
      <c r="G79" s="165" t="e">
        <f t="shared" si="8"/>
        <v>#VALUE!</v>
      </c>
      <c r="H79" s="166" t="e">
        <f t="shared" si="9"/>
        <v>#VALUE!</v>
      </c>
      <c r="I79" s="177"/>
    </row>
    <row r="80" spans="1:9" ht="19.5" customHeight="1">
      <c r="A80" s="167" t="s">
        <v>248</v>
      </c>
      <c r="B80" s="163">
        <v>1130</v>
      </c>
      <c r="C80" s="165"/>
      <c r="D80" s="165"/>
      <c r="E80" s="165"/>
      <c r="F80" s="165"/>
      <c r="G80" s="165">
        <f t="shared" si="8"/>
        <v>0</v>
      </c>
      <c r="H80" s="166" t="e">
        <f t="shared" si="9"/>
        <v>#DIV/0!</v>
      </c>
      <c r="I80" s="177"/>
    </row>
    <row r="81" spans="1:9" ht="19.5" customHeight="1">
      <c r="A81" s="167" t="s">
        <v>249</v>
      </c>
      <c r="B81" s="163">
        <v>1140</v>
      </c>
      <c r="C81" s="165" t="s">
        <v>204</v>
      </c>
      <c r="D81" s="165" t="s">
        <v>204</v>
      </c>
      <c r="E81" s="165" t="s">
        <v>204</v>
      </c>
      <c r="F81" s="165" t="s">
        <v>204</v>
      </c>
      <c r="G81" s="165" t="e">
        <f t="shared" si="8"/>
        <v>#VALUE!</v>
      </c>
      <c r="H81" s="166" t="e">
        <f t="shared" si="9"/>
        <v>#VALUE!</v>
      </c>
      <c r="I81" s="177"/>
    </row>
    <row r="82" spans="1:9" ht="27.75" customHeight="1">
      <c r="A82" s="162" t="s">
        <v>250</v>
      </c>
      <c r="B82" s="163">
        <v>1150</v>
      </c>
      <c r="C82" s="175">
        <f>SUM(C83:C84)</f>
        <v>72.3</v>
      </c>
      <c r="D82" s="175">
        <f>SUM(D83:D84)</f>
        <v>214.5</v>
      </c>
      <c r="E82" s="175">
        <f>SUM(E83:E84)</f>
        <v>40</v>
      </c>
      <c r="F82" s="175">
        <f>SUM(F83:F84)</f>
        <v>136</v>
      </c>
      <c r="G82" s="165">
        <f t="shared" si="8"/>
        <v>96</v>
      </c>
      <c r="H82" s="166">
        <f t="shared" si="9"/>
        <v>340</v>
      </c>
      <c r="I82" s="317" t="s">
        <v>542</v>
      </c>
    </row>
    <row r="83" spans="1:9" ht="19.5" customHeight="1">
      <c r="A83" s="167" t="s">
        <v>60</v>
      </c>
      <c r="B83" s="163">
        <v>1151</v>
      </c>
      <c r="C83" s="165"/>
      <c r="D83" s="165"/>
      <c r="E83" s="165"/>
      <c r="F83" s="165"/>
      <c r="G83" s="165">
        <f t="shared" si="8"/>
        <v>0</v>
      </c>
      <c r="H83" s="166" t="e">
        <f t="shared" si="9"/>
        <v>#DIV/0!</v>
      </c>
      <c r="I83" s="177"/>
    </row>
    <row r="84" spans="1:9" ht="36.75" customHeight="1">
      <c r="A84" s="167" t="s">
        <v>251</v>
      </c>
      <c r="B84" s="163">
        <v>1152</v>
      </c>
      <c r="C84" s="165">
        <v>72.3</v>
      </c>
      <c r="D84" s="165">
        <f>78.5+136</f>
        <v>214.5</v>
      </c>
      <c r="E84" s="165">
        <v>40</v>
      </c>
      <c r="F84" s="165">
        <v>136</v>
      </c>
      <c r="G84" s="165"/>
      <c r="H84" s="166">
        <f t="shared" si="9"/>
        <v>340</v>
      </c>
      <c r="I84" s="177" t="s">
        <v>540</v>
      </c>
    </row>
    <row r="85" spans="1:9" ht="25.5" customHeight="1">
      <c r="A85" s="162" t="s">
        <v>252</v>
      </c>
      <c r="B85" s="163">
        <v>1160</v>
      </c>
      <c r="C85" s="175">
        <f>SUM(C86:C87)</f>
        <v>-72.3</v>
      </c>
      <c r="D85" s="175">
        <f>SUM(D86:D87)</f>
        <v>-214.5</v>
      </c>
      <c r="E85" s="175">
        <f>SUM(E86:E87)</f>
        <v>-40</v>
      </c>
      <c r="F85" s="175">
        <f>SUM(F86:F87)</f>
        <v>-136</v>
      </c>
      <c r="G85" s="165">
        <f t="shared" si="8"/>
        <v>-96</v>
      </c>
      <c r="H85" s="166">
        <f t="shared" si="9"/>
        <v>340</v>
      </c>
      <c r="I85" s="177"/>
    </row>
    <row r="86" spans="1:9" ht="19.5" customHeight="1">
      <c r="A86" s="167" t="s">
        <v>60</v>
      </c>
      <c r="B86" s="163">
        <v>1161</v>
      </c>
      <c r="C86" s="165" t="s">
        <v>204</v>
      </c>
      <c r="D86" s="165" t="s">
        <v>204</v>
      </c>
      <c r="E86" s="165" t="s">
        <v>204</v>
      </c>
      <c r="F86" s="165" t="s">
        <v>204</v>
      </c>
      <c r="G86" s="165"/>
      <c r="H86" s="166" t="e">
        <f t="shared" si="9"/>
        <v>#VALUE!</v>
      </c>
      <c r="I86" s="177"/>
    </row>
    <row r="87" spans="1:9" ht="34.5" customHeight="1">
      <c r="A87" s="167" t="s">
        <v>253</v>
      </c>
      <c r="B87" s="163">
        <v>1162</v>
      </c>
      <c r="C87" s="165">
        <v>-72.3</v>
      </c>
      <c r="D87" s="165">
        <f>-78.5-136</f>
        <v>-214.5</v>
      </c>
      <c r="E87" s="165">
        <v>-40</v>
      </c>
      <c r="F87" s="165">
        <v>-136</v>
      </c>
      <c r="G87" s="165">
        <f t="shared" si="8"/>
        <v>-96</v>
      </c>
      <c r="H87" s="166">
        <f t="shared" si="9"/>
        <v>340</v>
      </c>
      <c r="I87" s="177" t="s">
        <v>541</v>
      </c>
    </row>
    <row r="88" spans="1:9" s="59" customFormat="1" ht="27.75" customHeight="1">
      <c r="A88" s="162" t="s">
        <v>73</v>
      </c>
      <c r="B88" s="172">
        <v>1170</v>
      </c>
      <c r="C88" s="173">
        <f>SUM(C77,C78,C79,C80,C81,C82,C85)</f>
        <v>2287.3</v>
      </c>
      <c r="D88" s="173">
        <f>SUM(D77,D78,D79,D80,D81,D82,D85)</f>
        <v>-436.99999999999727</v>
      </c>
      <c r="E88" s="173">
        <f>SUM(E77,E78,E79,E80,E81,E82,E85)</f>
        <v>0</v>
      </c>
      <c r="F88" s="173">
        <f>SUM(F77,F78,F79,F80,F81,F82,F85)</f>
        <v>-1508.8999999999999</v>
      </c>
      <c r="G88" s="164">
        <f t="shared" si="8"/>
        <v>-1508.8999999999999</v>
      </c>
      <c r="H88" s="174" t="e">
        <f t="shared" si="9"/>
        <v>#DIV/0!</v>
      </c>
      <c r="I88" s="184"/>
    </row>
    <row r="89" spans="1:9" ht="19.5" customHeight="1">
      <c r="A89" s="167" t="s">
        <v>74</v>
      </c>
      <c r="B89" s="168">
        <v>1180</v>
      </c>
      <c r="C89" s="165" t="s">
        <v>204</v>
      </c>
      <c r="D89" s="165" t="s">
        <v>204</v>
      </c>
      <c r="E89" s="165" t="s">
        <v>204</v>
      </c>
      <c r="F89" s="165" t="s">
        <v>204</v>
      </c>
      <c r="G89" s="165" t="e">
        <f t="shared" si="8"/>
        <v>#VALUE!</v>
      </c>
      <c r="H89" s="166" t="e">
        <f aca="true" t="shared" si="10" ref="H89:H115">(F89/E89)*100</f>
        <v>#VALUE!</v>
      </c>
      <c r="I89" s="177"/>
    </row>
    <row r="90" spans="1:9" ht="19.5" customHeight="1">
      <c r="A90" s="167" t="s">
        <v>75</v>
      </c>
      <c r="B90" s="168">
        <v>1181</v>
      </c>
      <c r="C90" s="165"/>
      <c r="D90" s="165"/>
      <c r="E90" s="165"/>
      <c r="F90" s="165"/>
      <c r="G90" s="165"/>
      <c r="H90" s="166" t="e">
        <f t="shared" si="10"/>
        <v>#DIV/0!</v>
      </c>
      <c r="I90" s="177"/>
    </row>
    <row r="91" spans="1:9" ht="19.5" customHeight="1">
      <c r="A91" s="167" t="s">
        <v>76</v>
      </c>
      <c r="B91" s="163">
        <v>1190</v>
      </c>
      <c r="C91" s="165"/>
      <c r="D91" s="165"/>
      <c r="E91" s="165"/>
      <c r="F91" s="165"/>
      <c r="G91" s="165"/>
      <c r="H91" s="166" t="e">
        <f t="shared" si="10"/>
        <v>#DIV/0!</v>
      </c>
      <c r="I91" s="177"/>
    </row>
    <row r="92" spans="1:9" ht="19.5" customHeight="1">
      <c r="A92" s="167" t="s">
        <v>77</v>
      </c>
      <c r="B92" s="163">
        <v>1191</v>
      </c>
      <c r="C92" s="165" t="s">
        <v>204</v>
      </c>
      <c r="D92" s="165" t="s">
        <v>204</v>
      </c>
      <c r="E92" s="165" t="s">
        <v>204</v>
      </c>
      <c r="F92" s="165" t="s">
        <v>204</v>
      </c>
      <c r="G92" s="165" t="e">
        <f t="shared" si="8"/>
        <v>#VALUE!</v>
      </c>
      <c r="H92" s="166" t="e">
        <f t="shared" si="10"/>
        <v>#VALUE!</v>
      </c>
      <c r="I92" s="177"/>
    </row>
    <row r="93" spans="1:9" s="59" customFormat="1" ht="30" customHeight="1">
      <c r="A93" s="162" t="s">
        <v>254</v>
      </c>
      <c r="B93" s="172">
        <v>1200</v>
      </c>
      <c r="C93" s="173">
        <f>SUM(C88,C89,C90,C91,C92)</f>
        <v>2287.3</v>
      </c>
      <c r="D93" s="173">
        <f>SUM(D88,D89,D90,D91,D92)</f>
        <v>-436.99999999999727</v>
      </c>
      <c r="E93" s="173">
        <f>SUM(E88,E89,E90,E91,E92)</f>
        <v>0</v>
      </c>
      <c r="F93" s="173">
        <f>SUM(F88,F89,F90,F91,F92)</f>
        <v>-1508.8999999999999</v>
      </c>
      <c r="G93" s="164">
        <f t="shared" si="8"/>
        <v>-1508.8999999999999</v>
      </c>
      <c r="H93" s="174" t="e">
        <f t="shared" si="10"/>
        <v>#DIV/0!</v>
      </c>
      <c r="I93" s="184"/>
    </row>
    <row r="94" spans="1:9" ht="19.5" customHeight="1">
      <c r="A94" s="167" t="s">
        <v>255</v>
      </c>
      <c r="B94" s="163">
        <v>1201</v>
      </c>
      <c r="C94" s="165"/>
      <c r="D94" s="165"/>
      <c r="E94" s="165"/>
      <c r="F94" s="165"/>
      <c r="G94" s="165">
        <f t="shared" si="8"/>
        <v>0</v>
      </c>
      <c r="H94" s="166" t="e">
        <f t="shared" si="10"/>
        <v>#DIV/0!</v>
      </c>
      <c r="I94" s="177"/>
    </row>
    <row r="95" spans="1:9" ht="19.5" customHeight="1">
      <c r="A95" s="167" t="s">
        <v>256</v>
      </c>
      <c r="B95" s="163">
        <v>1202</v>
      </c>
      <c r="C95" s="165" t="s">
        <v>204</v>
      </c>
      <c r="D95" s="165" t="s">
        <v>204</v>
      </c>
      <c r="E95" s="165" t="s">
        <v>204</v>
      </c>
      <c r="F95" s="165">
        <v>-1508.9</v>
      </c>
      <c r="G95" s="165" t="e">
        <f t="shared" si="8"/>
        <v>#VALUE!</v>
      </c>
      <c r="H95" s="166" t="e">
        <f t="shared" si="10"/>
        <v>#VALUE!</v>
      </c>
      <c r="I95" s="177"/>
    </row>
    <row r="96" spans="1:9" ht="28.5" customHeight="1">
      <c r="A96" s="162" t="s">
        <v>504</v>
      </c>
      <c r="B96" s="163">
        <v>1210</v>
      </c>
      <c r="C96" s="185">
        <f>SUM(C7,C55,C78,C80,C82,C90,C91)</f>
        <v>12628.599999999999</v>
      </c>
      <c r="D96" s="185">
        <f>SUM(D7,D55,D78,D80,D82,D90,D91)</f>
        <v>17327.600000000002</v>
      </c>
      <c r="E96" s="185">
        <f>SUM(E7,E55,E78,E80,E82,E90,E91)</f>
        <v>6620</v>
      </c>
      <c r="F96" s="185">
        <f>SUM(F7,F55,F78,F80,F82,F90,F91)</f>
        <v>9837.1</v>
      </c>
      <c r="G96" s="164">
        <f t="shared" si="8"/>
        <v>3217.1000000000004</v>
      </c>
      <c r="H96" s="174">
        <f t="shared" si="10"/>
        <v>148.59667673716012</v>
      </c>
      <c r="I96" s="177"/>
    </row>
    <row r="97" spans="1:9" ht="36" customHeight="1">
      <c r="A97" s="162" t="s">
        <v>503</v>
      </c>
      <c r="B97" s="163">
        <v>1220</v>
      </c>
      <c r="C97" s="185">
        <f>SUM(C8,C21,C47,C63,C79,C81,C85,C89,C92)</f>
        <v>-10341.3</v>
      </c>
      <c r="D97" s="185">
        <f>SUM(D8,D21,D47,D63,D79,D81,D85,D89,D92)</f>
        <v>-17764.6</v>
      </c>
      <c r="E97" s="185">
        <f>SUM(E8,E21,E47,E63,E79,E81,E85,E89,E92)</f>
        <v>-6620</v>
      </c>
      <c r="F97" s="185">
        <f>SUM(F8,F21,F47,F63,F79,F81,F85,F89,F92)</f>
        <v>-11346</v>
      </c>
      <c r="G97" s="164">
        <f t="shared" si="8"/>
        <v>-4726</v>
      </c>
      <c r="H97" s="174">
        <f t="shared" si="10"/>
        <v>171.38972809667675</v>
      </c>
      <c r="I97" s="177"/>
    </row>
    <row r="98" spans="1:9" ht="19.5" customHeight="1">
      <c r="A98" s="167" t="s">
        <v>83</v>
      </c>
      <c r="B98" s="163">
        <v>1230</v>
      </c>
      <c r="C98" s="165"/>
      <c r="D98" s="165"/>
      <c r="E98" s="165"/>
      <c r="F98" s="165"/>
      <c r="G98" s="165">
        <f t="shared" si="8"/>
        <v>0</v>
      </c>
      <c r="H98" s="166" t="e">
        <f t="shared" si="10"/>
        <v>#DIV/0!</v>
      </c>
      <c r="I98" s="177"/>
    </row>
    <row r="99" spans="1:9" ht="24.75" customHeight="1">
      <c r="A99" s="352" t="s">
        <v>257</v>
      </c>
      <c r="B99" s="352"/>
      <c r="C99" s="352"/>
      <c r="D99" s="352"/>
      <c r="E99" s="352"/>
      <c r="F99" s="352"/>
      <c r="G99" s="352"/>
      <c r="H99" s="352"/>
      <c r="I99" s="352"/>
    </row>
    <row r="100" spans="1:9" ht="27" customHeight="1">
      <c r="A100" s="167" t="s">
        <v>258</v>
      </c>
      <c r="B100" s="163">
        <v>1300</v>
      </c>
      <c r="C100" s="186">
        <f>C77</f>
        <v>2287.3</v>
      </c>
      <c r="D100" s="186">
        <f>D77</f>
        <v>-436.99999999999727</v>
      </c>
      <c r="E100" s="186">
        <f>E77</f>
        <v>0</v>
      </c>
      <c r="F100" s="186">
        <f>F77</f>
        <v>-1508.8999999999999</v>
      </c>
      <c r="G100" s="169">
        <f aca="true" t="shared" si="11" ref="G100:G106">F100-E100</f>
        <v>-1508.8999999999999</v>
      </c>
      <c r="H100" s="170" t="e">
        <f t="shared" si="10"/>
        <v>#DIV/0!</v>
      </c>
      <c r="I100" s="177"/>
    </row>
    <row r="101" spans="1:9" ht="27" customHeight="1">
      <c r="A101" s="167" t="s">
        <v>259</v>
      </c>
      <c r="B101" s="163">
        <v>1301</v>
      </c>
      <c r="C101" s="186">
        <f>C113</f>
        <v>572.5</v>
      </c>
      <c r="D101" s="186">
        <f>D113</f>
        <v>633.9</v>
      </c>
      <c r="E101" s="186">
        <f>E113</f>
        <v>390</v>
      </c>
      <c r="F101" s="186">
        <f>F113</f>
        <v>475</v>
      </c>
      <c r="G101" s="169">
        <f t="shared" si="11"/>
        <v>85</v>
      </c>
      <c r="H101" s="170">
        <f t="shared" si="10"/>
        <v>121.79487179487178</v>
      </c>
      <c r="I101" s="177"/>
    </row>
    <row r="102" spans="1:9" ht="27" customHeight="1">
      <c r="A102" s="167" t="s">
        <v>260</v>
      </c>
      <c r="B102" s="163">
        <v>1302</v>
      </c>
      <c r="C102" s="186">
        <f>C56</f>
        <v>0</v>
      </c>
      <c r="D102" s="186">
        <f>D56</f>
        <v>0</v>
      </c>
      <c r="E102" s="186">
        <f>E56</f>
        <v>0</v>
      </c>
      <c r="F102" s="186">
        <f>F56</f>
        <v>0</v>
      </c>
      <c r="G102" s="169">
        <f t="shared" si="11"/>
        <v>0</v>
      </c>
      <c r="H102" s="170" t="e">
        <f t="shared" si="10"/>
        <v>#DIV/0!</v>
      </c>
      <c r="I102" s="177"/>
    </row>
    <row r="103" spans="1:9" ht="27" customHeight="1">
      <c r="A103" s="167" t="s">
        <v>261</v>
      </c>
      <c r="B103" s="163">
        <v>1303</v>
      </c>
      <c r="C103" s="186" t="str">
        <f>C64</f>
        <v>(    )</v>
      </c>
      <c r="D103" s="186" t="str">
        <f>D64</f>
        <v>(    )</v>
      </c>
      <c r="E103" s="186" t="str">
        <f>E64</f>
        <v>(    )</v>
      </c>
      <c r="F103" s="186" t="str">
        <f>F64</f>
        <v>(    )</v>
      </c>
      <c r="G103" s="169" t="e">
        <f t="shared" si="11"/>
        <v>#VALUE!</v>
      </c>
      <c r="H103" s="170" t="e">
        <f t="shared" si="10"/>
        <v>#VALUE!</v>
      </c>
      <c r="I103" s="177"/>
    </row>
    <row r="104" spans="1:9" ht="27" customHeight="1">
      <c r="A104" s="167" t="s">
        <v>262</v>
      </c>
      <c r="B104" s="163">
        <v>1304</v>
      </c>
      <c r="C104" s="186">
        <f>C57</f>
        <v>0</v>
      </c>
      <c r="D104" s="186">
        <f>D57</f>
        <v>0</v>
      </c>
      <c r="E104" s="186">
        <f>E57</f>
        <v>0</v>
      </c>
      <c r="F104" s="186">
        <f>F57</f>
        <v>0</v>
      </c>
      <c r="G104" s="169"/>
      <c r="H104" s="170" t="e">
        <f t="shared" si="10"/>
        <v>#DIV/0!</v>
      </c>
      <c r="I104" s="177"/>
    </row>
    <row r="105" spans="1:9" ht="27" customHeight="1">
      <c r="A105" s="167" t="s">
        <v>263</v>
      </c>
      <c r="B105" s="163">
        <v>1305</v>
      </c>
      <c r="C105" s="186" t="str">
        <f>C65</f>
        <v>(    )</v>
      </c>
      <c r="D105" s="186" t="str">
        <f>D65</f>
        <v>(    )</v>
      </c>
      <c r="E105" s="186" t="str">
        <f>E65</f>
        <v>(    )</v>
      </c>
      <c r="F105" s="186" t="str">
        <f>F65</f>
        <v>(    )</v>
      </c>
      <c r="G105" s="169" t="e">
        <f t="shared" si="11"/>
        <v>#VALUE!</v>
      </c>
      <c r="H105" s="170" t="e">
        <f t="shared" si="10"/>
        <v>#VALUE!</v>
      </c>
      <c r="I105" s="177"/>
    </row>
    <row r="106" spans="1:9" s="59" customFormat="1" ht="27" customHeight="1">
      <c r="A106" s="162" t="s">
        <v>65</v>
      </c>
      <c r="B106" s="172">
        <v>1310</v>
      </c>
      <c r="C106" s="187" t="e">
        <f>C100+C101-C102-C103-C104-C105</f>
        <v>#VALUE!</v>
      </c>
      <c r="D106" s="187" t="e">
        <f>D100+D101-D102-D103-D104-D105</f>
        <v>#VALUE!</v>
      </c>
      <c r="E106" s="187" t="e">
        <f>E100+E101-E102-E103-E104-E105</f>
        <v>#VALUE!</v>
      </c>
      <c r="F106" s="187" t="e">
        <f>F100+F101-F102-F103-F104-F105</f>
        <v>#VALUE!</v>
      </c>
      <c r="G106" s="188" t="e">
        <f t="shared" si="11"/>
        <v>#VALUE!</v>
      </c>
      <c r="H106" s="189" t="e">
        <f t="shared" si="10"/>
        <v>#VALUE!</v>
      </c>
      <c r="I106" s="184"/>
    </row>
    <row r="107" spans="1:9" s="59" customFormat="1" ht="21.75" customHeight="1">
      <c r="A107" s="353" t="s">
        <v>84</v>
      </c>
      <c r="B107" s="354"/>
      <c r="C107" s="354"/>
      <c r="D107" s="354"/>
      <c r="E107" s="354"/>
      <c r="F107" s="354"/>
      <c r="G107" s="354"/>
      <c r="H107" s="354"/>
      <c r="I107" s="355"/>
    </row>
    <row r="108" spans="1:9" s="59" customFormat="1" ht="27" customHeight="1">
      <c r="A108" s="167" t="s">
        <v>85</v>
      </c>
      <c r="B108" s="163">
        <v>1400</v>
      </c>
      <c r="C108" s="190">
        <f>C109+C110</f>
        <v>332.4</v>
      </c>
      <c r="D108" s="190">
        <f>D109+D110</f>
        <v>2699.8</v>
      </c>
      <c r="E108" s="190">
        <f>E109+E110</f>
        <v>60</v>
      </c>
      <c r="F108" s="190">
        <f>F109+F110</f>
        <v>2236.3</v>
      </c>
      <c r="G108" s="190">
        <f aca="true" t="shared" si="12" ref="G108:G115">F108-E108</f>
        <v>2176.3</v>
      </c>
      <c r="H108" s="191">
        <f t="shared" si="10"/>
        <v>3727.166666666667</v>
      </c>
      <c r="I108" s="177"/>
    </row>
    <row r="109" spans="1:9" s="59" customFormat="1" ht="27" customHeight="1">
      <c r="A109" s="167" t="s">
        <v>86</v>
      </c>
      <c r="B109" s="192">
        <v>1401</v>
      </c>
      <c r="C109" s="190">
        <v>318.2</v>
      </c>
      <c r="D109" s="190">
        <f>463.5+2236.3</f>
        <v>2699.8</v>
      </c>
      <c r="E109" s="190">
        <v>60</v>
      </c>
      <c r="F109" s="190">
        <v>2236.3</v>
      </c>
      <c r="G109" s="190">
        <f t="shared" si="12"/>
        <v>2176.3</v>
      </c>
      <c r="H109" s="191">
        <f t="shared" si="10"/>
        <v>3727.166666666667</v>
      </c>
      <c r="I109" s="177"/>
    </row>
    <row r="110" spans="1:9" s="59" customFormat="1" ht="27" customHeight="1">
      <c r="A110" s="167" t="s">
        <v>87</v>
      </c>
      <c r="B110" s="192">
        <v>1402</v>
      </c>
      <c r="C110" s="190">
        <v>14.2</v>
      </c>
      <c r="D110" s="190">
        <v>0</v>
      </c>
      <c r="E110" s="190">
        <v>0</v>
      </c>
      <c r="F110" s="190">
        <v>0</v>
      </c>
      <c r="G110" s="190">
        <f t="shared" si="12"/>
        <v>0</v>
      </c>
      <c r="H110" s="191" t="e">
        <f t="shared" si="10"/>
        <v>#DIV/0!</v>
      </c>
      <c r="I110" s="177"/>
    </row>
    <row r="111" spans="1:9" s="59" customFormat="1" ht="27" customHeight="1">
      <c r="A111" s="167" t="s">
        <v>88</v>
      </c>
      <c r="B111" s="192">
        <v>1410</v>
      </c>
      <c r="C111" s="190">
        <v>5833.9</v>
      </c>
      <c r="D111" s="190">
        <f>3912.5-127.6+5521.9</f>
        <v>9306.8</v>
      </c>
      <c r="E111" s="190">
        <v>4620</v>
      </c>
      <c r="F111" s="190">
        <v>5521.9</v>
      </c>
      <c r="G111" s="190">
        <f t="shared" si="12"/>
        <v>901.8999999999996</v>
      </c>
      <c r="H111" s="191">
        <f t="shared" si="10"/>
        <v>119.52164502164501</v>
      </c>
      <c r="I111" s="177"/>
    </row>
    <row r="112" spans="1:9" s="59" customFormat="1" ht="27" customHeight="1">
      <c r="A112" s="167" t="s">
        <v>89</v>
      </c>
      <c r="B112" s="192">
        <v>1420</v>
      </c>
      <c r="C112" s="190">
        <v>1225.9</v>
      </c>
      <c r="D112" s="190">
        <f>802.9+1092.9</f>
        <v>1895.8000000000002</v>
      </c>
      <c r="E112" s="190">
        <v>1000</v>
      </c>
      <c r="F112" s="190">
        <v>1092.9</v>
      </c>
      <c r="G112" s="190">
        <f t="shared" si="12"/>
        <v>92.90000000000009</v>
      </c>
      <c r="H112" s="191">
        <f t="shared" si="10"/>
        <v>109.28999999999999</v>
      </c>
      <c r="I112" s="177"/>
    </row>
    <row r="113" spans="1:9" s="59" customFormat="1" ht="27" customHeight="1">
      <c r="A113" s="167" t="s">
        <v>90</v>
      </c>
      <c r="B113" s="192">
        <v>1430</v>
      </c>
      <c r="C113" s="190">
        <v>572.5</v>
      </c>
      <c r="D113" s="190">
        <f>158.9+475</f>
        <v>633.9</v>
      </c>
      <c r="E113" s="190">
        <v>390</v>
      </c>
      <c r="F113" s="190">
        <v>475</v>
      </c>
      <c r="G113" s="190">
        <f t="shared" si="12"/>
        <v>85</v>
      </c>
      <c r="H113" s="191">
        <f t="shared" si="10"/>
        <v>121.79487179487178</v>
      </c>
      <c r="I113" s="177"/>
    </row>
    <row r="114" spans="1:9" s="59" customFormat="1" ht="57.75" customHeight="1">
      <c r="A114" s="167" t="s">
        <v>264</v>
      </c>
      <c r="B114" s="192">
        <v>1440</v>
      </c>
      <c r="C114" s="190">
        <v>2376.6</v>
      </c>
      <c r="D114" s="190">
        <f>1209.3-0.9+2019.6</f>
        <v>3228</v>
      </c>
      <c r="E114" s="190">
        <v>550</v>
      </c>
      <c r="F114" s="190">
        <v>2019.6</v>
      </c>
      <c r="G114" s="190">
        <f t="shared" si="12"/>
        <v>1469.6</v>
      </c>
      <c r="H114" s="191">
        <f t="shared" si="10"/>
        <v>367.2</v>
      </c>
      <c r="I114" s="177"/>
    </row>
    <row r="115" spans="1:9" s="59" customFormat="1" ht="30" customHeight="1">
      <c r="A115" s="162" t="s">
        <v>92</v>
      </c>
      <c r="B115" s="193">
        <v>1450</v>
      </c>
      <c r="C115" s="194">
        <f>SUM(C108,C111:C114)</f>
        <v>10341.3</v>
      </c>
      <c r="D115" s="194">
        <f>SUM(D108,D111:D114)</f>
        <v>17764.299999999996</v>
      </c>
      <c r="E115" s="194">
        <f>SUM(E108,E111:E114)</f>
        <v>6620</v>
      </c>
      <c r="F115" s="194">
        <f>SUM(F108,F111:F114)</f>
        <v>11345.7</v>
      </c>
      <c r="G115" s="195">
        <f t="shared" si="12"/>
        <v>4725.700000000001</v>
      </c>
      <c r="H115" s="196">
        <f t="shared" si="10"/>
        <v>171.38519637462238</v>
      </c>
      <c r="I115" s="184"/>
    </row>
    <row r="116" ht="10.5" customHeight="1">
      <c r="A116" s="64"/>
    </row>
    <row r="117" spans="1:10" ht="27.75" customHeight="1">
      <c r="A117" s="99" t="s">
        <v>193</v>
      </c>
      <c r="C117" s="356" t="s">
        <v>194</v>
      </c>
      <c r="D117" s="356"/>
      <c r="E117" s="100"/>
      <c r="F117" s="357"/>
      <c r="G117" s="357"/>
      <c r="H117" s="357"/>
      <c r="I117" s="343" t="s">
        <v>529</v>
      </c>
      <c r="J117" s="343"/>
    </row>
    <row r="118" spans="1:8" s="6" customFormat="1" ht="18.75">
      <c r="A118" s="101" t="s">
        <v>195</v>
      </c>
      <c r="B118" s="57"/>
      <c r="C118" s="318" t="s">
        <v>265</v>
      </c>
      <c r="D118" s="318"/>
      <c r="E118" s="57"/>
      <c r="F118" s="344"/>
      <c r="G118" s="344"/>
      <c r="H118" s="344"/>
    </row>
    <row r="119" ht="18.75">
      <c r="A119" s="64"/>
    </row>
    <row r="120" ht="18.75">
      <c r="A120" s="64"/>
    </row>
    <row r="121" ht="18.75">
      <c r="A121" s="64"/>
    </row>
    <row r="122" ht="18.75">
      <c r="A122" s="64"/>
    </row>
    <row r="123" ht="18.75">
      <c r="A123" s="64"/>
    </row>
    <row r="124" ht="18.75">
      <c r="A124" s="64"/>
    </row>
    <row r="125" ht="18.75">
      <c r="A125" s="64"/>
    </row>
    <row r="126" ht="18.75">
      <c r="A126" s="64"/>
    </row>
    <row r="127" ht="18.75">
      <c r="A127" s="64"/>
    </row>
    <row r="128" ht="18.75">
      <c r="A128" s="64"/>
    </row>
    <row r="129" ht="18.75">
      <c r="A129" s="64"/>
    </row>
    <row r="130" ht="18.75">
      <c r="A130" s="64"/>
    </row>
    <row r="131" ht="18.75">
      <c r="A131" s="64"/>
    </row>
    <row r="132" ht="18.75">
      <c r="A132" s="64"/>
    </row>
    <row r="133" ht="18.75">
      <c r="A133" s="64"/>
    </row>
    <row r="134" ht="18.75">
      <c r="A134" s="64"/>
    </row>
    <row r="135" ht="18.75">
      <c r="A135" s="64"/>
    </row>
    <row r="136" ht="18.75">
      <c r="A136" s="64"/>
    </row>
    <row r="137" ht="18.75">
      <c r="A137" s="64"/>
    </row>
    <row r="138" ht="18.75">
      <c r="A138" s="64"/>
    </row>
    <row r="139" ht="18.75">
      <c r="A139" s="64"/>
    </row>
    <row r="140" ht="18.75">
      <c r="A140" s="64"/>
    </row>
    <row r="141" ht="18.75">
      <c r="A141" s="64"/>
    </row>
    <row r="142" ht="18.75">
      <c r="A142" s="64"/>
    </row>
    <row r="143" ht="18.75">
      <c r="A143" s="64"/>
    </row>
    <row r="144" ht="18.75">
      <c r="A144" s="64"/>
    </row>
    <row r="145" ht="18.75">
      <c r="A145" s="64"/>
    </row>
    <row r="146" ht="18.75">
      <c r="A146" s="64"/>
    </row>
    <row r="147" ht="18.75">
      <c r="A147" s="64"/>
    </row>
    <row r="148" ht="18.75">
      <c r="A148" s="64"/>
    </row>
    <row r="149" ht="18.75">
      <c r="A149" s="64"/>
    </row>
    <row r="150" ht="18.75">
      <c r="A150" s="64"/>
    </row>
    <row r="151" ht="18.75">
      <c r="A151" s="64"/>
    </row>
    <row r="152" ht="18.75">
      <c r="A152" s="64"/>
    </row>
    <row r="153" ht="18.75">
      <c r="A153" s="64"/>
    </row>
    <row r="154" ht="18.75">
      <c r="A154" s="64"/>
    </row>
    <row r="155" ht="18.75">
      <c r="A155" s="64"/>
    </row>
    <row r="156" ht="18.75">
      <c r="A156" s="64"/>
    </row>
    <row r="157" ht="18.75">
      <c r="A157" s="64"/>
    </row>
    <row r="158" ht="18.75">
      <c r="A158" s="64"/>
    </row>
    <row r="159" ht="18.75">
      <c r="A159" s="64"/>
    </row>
    <row r="160" ht="18.75">
      <c r="A160" s="64"/>
    </row>
    <row r="161" ht="18.75">
      <c r="A161" s="64"/>
    </row>
    <row r="162" ht="18.75">
      <c r="A162" s="64"/>
    </row>
    <row r="163" ht="18.75">
      <c r="A163" s="64"/>
    </row>
    <row r="164" ht="18.75">
      <c r="A164" s="64"/>
    </row>
    <row r="165" ht="18.75">
      <c r="A165" s="64"/>
    </row>
    <row r="166" ht="18.75">
      <c r="A166" s="64"/>
    </row>
    <row r="167" ht="18.75">
      <c r="A167" s="64"/>
    </row>
    <row r="168" ht="18.75">
      <c r="A168" s="64"/>
    </row>
    <row r="169" ht="18.75">
      <c r="A169" s="64"/>
    </row>
    <row r="170" ht="18.75">
      <c r="A170" s="64"/>
    </row>
    <row r="171" ht="18.75">
      <c r="A171" s="64"/>
    </row>
    <row r="172" ht="18.75">
      <c r="A172" s="64"/>
    </row>
    <row r="173" ht="18.75">
      <c r="A173" s="64"/>
    </row>
    <row r="174" ht="18.75">
      <c r="A174" s="64"/>
    </row>
    <row r="175" ht="18.75">
      <c r="A175" s="64"/>
    </row>
    <row r="176" ht="18.75">
      <c r="A176" s="64"/>
    </row>
    <row r="177" ht="18.75">
      <c r="A177" s="110"/>
    </row>
    <row r="178" ht="18.75">
      <c r="A178" s="110"/>
    </row>
    <row r="179" ht="18.75">
      <c r="A179" s="110"/>
    </row>
    <row r="180" ht="18.75">
      <c r="A180" s="110"/>
    </row>
    <row r="181" ht="18.75">
      <c r="A181" s="110"/>
    </row>
    <row r="182" ht="18.75">
      <c r="A182" s="110"/>
    </row>
    <row r="183" ht="18.75">
      <c r="A183" s="110"/>
    </row>
    <row r="184" ht="18.75">
      <c r="A184" s="110"/>
    </row>
    <row r="185" ht="18.75">
      <c r="A185" s="110"/>
    </row>
    <row r="186" ht="18.75">
      <c r="A186" s="110"/>
    </row>
    <row r="187" ht="18.75">
      <c r="A187" s="110"/>
    </row>
    <row r="188" ht="18.75">
      <c r="A188" s="110"/>
    </row>
    <row r="189" ht="18.75">
      <c r="A189" s="110"/>
    </row>
    <row r="190" ht="18.75">
      <c r="A190" s="110"/>
    </row>
    <row r="191" ht="18.75">
      <c r="A191" s="110"/>
    </row>
    <row r="192" ht="18.75">
      <c r="A192" s="110"/>
    </row>
    <row r="193" ht="18.75">
      <c r="A193" s="110"/>
    </row>
    <row r="194" ht="18.75">
      <c r="A194" s="110"/>
    </row>
    <row r="195" ht="18.75">
      <c r="A195" s="110"/>
    </row>
    <row r="196" ht="18.75">
      <c r="A196" s="110"/>
    </row>
    <row r="197" ht="18.75">
      <c r="A197" s="110"/>
    </row>
    <row r="198" ht="18.75">
      <c r="A198" s="110"/>
    </row>
    <row r="199" ht="18.75">
      <c r="A199" s="110"/>
    </row>
    <row r="200" ht="18.75">
      <c r="A200" s="110"/>
    </row>
    <row r="201" ht="18.75">
      <c r="A201" s="110"/>
    </row>
    <row r="202" ht="18.75">
      <c r="A202" s="110"/>
    </row>
    <row r="203" ht="18.75">
      <c r="A203" s="110"/>
    </row>
    <row r="204" ht="18.75">
      <c r="A204" s="110"/>
    </row>
    <row r="205" ht="18.75">
      <c r="A205" s="110"/>
    </row>
    <row r="206" ht="18.75">
      <c r="A206" s="110"/>
    </row>
    <row r="207" ht="18.75">
      <c r="A207" s="110"/>
    </row>
    <row r="208" ht="18.75">
      <c r="A208" s="110"/>
    </row>
    <row r="209" ht="18.75">
      <c r="A209" s="110"/>
    </row>
    <row r="210" ht="18.75">
      <c r="A210" s="110"/>
    </row>
    <row r="211" ht="18.75">
      <c r="A211" s="110"/>
    </row>
    <row r="212" ht="18.75">
      <c r="A212" s="110"/>
    </row>
    <row r="213" ht="18.75">
      <c r="A213" s="110"/>
    </row>
    <row r="214" ht="18.75">
      <c r="A214" s="110"/>
    </row>
    <row r="215" ht="18.75">
      <c r="A215" s="110"/>
    </row>
    <row r="216" ht="18.75">
      <c r="A216" s="110"/>
    </row>
    <row r="217" ht="18.75">
      <c r="A217" s="110"/>
    </row>
    <row r="218" ht="18.75">
      <c r="A218" s="110"/>
    </row>
    <row r="219" ht="18.75">
      <c r="A219" s="110"/>
    </row>
    <row r="220" ht="18.75">
      <c r="A220" s="110"/>
    </row>
    <row r="221" ht="18.75">
      <c r="A221" s="110"/>
    </row>
    <row r="222" ht="18.75">
      <c r="A222" s="110"/>
    </row>
    <row r="223" ht="18.75">
      <c r="A223" s="110"/>
    </row>
    <row r="224" ht="18.75">
      <c r="A224" s="110"/>
    </row>
    <row r="225" ht="18.75">
      <c r="A225" s="110"/>
    </row>
    <row r="226" ht="18.75">
      <c r="A226" s="110"/>
    </row>
    <row r="227" ht="18.75">
      <c r="A227" s="110"/>
    </row>
    <row r="228" ht="18.75">
      <c r="A228" s="110"/>
    </row>
    <row r="229" ht="18.75">
      <c r="A229" s="110"/>
    </row>
    <row r="230" ht="18.75">
      <c r="A230" s="110"/>
    </row>
    <row r="231" ht="18.75">
      <c r="A231" s="110"/>
    </row>
    <row r="232" ht="18.75">
      <c r="A232" s="110"/>
    </row>
    <row r="233" ht="18.75">
      <c r="A233" s="110"/>
    </row>
    <row r="234" ht="18.75">
      <c r="A234" s="110"/>
    </row>
    <row r="235" ht="18.75">
      <c r="A235" s="110"/>
    </row>
    <row r="236" ht="18.75">
      <c r="A236" s="110"/>
    </row>
    <row r="237" ht="18.75">
      <c r="A237" s="110"/>
    </row>
    <row r="238" ht="18.75">
      <c r="A238" s="110"/>
    </row>
    <row r="239" ht="18.75">
      <c r="A239" s="110"/>
    </row>
    <row r="240" ht="18.75">
      <c r="A240" s="110"/>
    </row>
    <row r="241" ht="18.75">
      <c r="A241" s="110"/>
    </row>
    <row r="242" ht="18.75">
      <c r="A242" s="110"/>
    </row>
    <row r="243" ht="18.75">
      <c r="A243" s="110"/>
    </row>
    <row r="244" ht="18.75">
      <c r="A244" s="110"/>
    </row>
    <row r="245" ht="18.75">
      <c r="A245" s="110"/>
    </row>
    <row r="246" ht="18.75">
      <c r="A246" s="110"/>
    </row>
    <row r="247" ht="18.75">
      <c r="A247" s="110"/>
    </row>
    <row r="248" ht="18.75">
      <c r="A248" s="110"/>
    </row>
    <row r="249" ht="18.75">
      <c r="A249" s="110"/>
    </row>
    <row r="250" ht="18.75">
      <c r="A250" s="110"/>
    </row>
    <row r="251" ht="18.75">
      <c r="A251" s="110"/>
    </row>
    <row r="252" ht="18.75">
      <c r="A252" s="110"/>
    </row>
    <row r="253" ht="18.75">
      <c r="A253" s="110"/>
    </row>
    <row r="254" ht="18.75">
      <c r="A254" s="110"/>
    </row>
    <row r="255" ht="18.75">
      <c r="A255" s="110"/>
    </row>
    <row r="256" ht="18.75">
      <c r="A256" s="110"/>
    </row>
    <row r="257" ht="18.75">
      <c r="A257" s="110"/>
    </row>
    <row r="258" ht="18.75">
      <c r="A258" s="110"/>
    </row>
    <row r="259" ht="18.75">
      <c r="A259" s="110"/>
    </row>
    <row r="260" ht="18.75">
      <c r="A260" s="110"/>
    </row>
    <row r="261" ht="18.75">
      <c r="A261" s="110"/>
    </row>
    <row r="262" ht="18.75">
      <c r="A262" s="110"/>
    </row>
    <row r="263" ht="18.75">
      <c r="A263" s="110"/>
    </row>
    <row r="264" ht="18.75">
      <c r="A264" s="110"/>
    </row>
    <row r="265" ht="18.75">
      <c r="A265" s="110"/>
    </row>
    <row r="266" ht="18.75">
      <c r="A266" s="110"/>
    </row>
    <row r="267" ht="18.75">
      <c r="A267" s="110"/>
    </row>
    <row r="268" ht="18.75">
      <c r="A268" s="110"/>
    </row>
    <row r="269" ht="18.75">
      <c r="A269" s="110"/>
    </row>
    <row r="270" ht="18.75">
      <c r="A270" s="110"/>
    </row>
    <row r="271" ht="18.75">
      <c r="A271" s="110"/>
    </row>
    <row r="272" ht="18.75">
      <c r="A272" s="110"/>
    </row>
    <row r="273" ht="18.75">
      <c r="A273" s="110"/>
    </row>
    <row r="274" ht="18.75">
      <c r="A274" s="110"/>
    </row>
    <row r="275" ht="18.75">
      <c r="A275" s="110"/>
    </row>
    <row r="276" ht="18.75">
      <c r="A276" s="110"/>
    </row>
    <row r="277" ht="18.75">
      <c r="A277" s="110"/>
    </row>
    <row r="278" ht="18.75">
      <c r="A278" s="110"/>
    </row>
    <row r="279" ht="18.75">
      <c r="A279" s="110"/>
    </row>
    <row r="280" ht="18.75">
      <c r="A280" s="110"/>
    </row>
    <row r="281" ht="18.75">
      <c r="A281" s="110"/>
    </row>
    <row r="282" ht="18.75">
      <c r="A282" s="110"/>
    </row>
    <row r="283" ht="18.75">
      <c r="A283" s="110"/>
    </row>
    <row r="284" ht="18.75">
      <c r="A284" s="110"/>
    </row>
    <row r="285" ht="18.75">
      <c r="A285" s="110"/>
    </row>
    <row r="286" ht="18.75">
      <c r="A286" s="110"/>
    </row>
    <row r="287" ht="18.75">
      <c r="A287" s="110"/>
    </row>
    <row r="288" ht="18.75">
      <c r="A288" s="110"/>
    </row>
    <row r="289" ht="18.75">
      <c r="A289" s="110"/>
    </row>
    <row r="290" ht="18.75">
      <c r="A290" s="110"/>
    </row>
    <row r="291" ht="18.75">
      <c r="A291" s="110"/>
    </row>
    <row r="292" ht="18.75">
      <c r="A292" s="110"/>
    </row>
    <row r="293" ht="18.75">
      <c r="A293" s="110"/>
    </row>
    <row r="294" ht="18.75">
      <c r="A294" s="110"/>
    </row>
    <row r="295" ht="18.75">
      <c r="A295" s="110"/>
    </row>
    <row r="296" ht="18.75">
      <c r="A296" s="110"/>
    </row>
    <row r="297" ht="18.75">
      <c r="A297" s="110"/>
    </row>
    <row r="298" ht="18.75">
      <c r="A298" s="110"/>
    </row>
    <row r="299" ht="18.75">
      <c r="A299" s="110"/>
    </row>
    <row r="300" ht="18.75">
      <c r="A300" s="110"/>
    </row>
    <row r="301" ht="18.75">
      <c r="A301" s="110"/>
    </row>
    <row r="302" ht="18.75">
      <c r="A302" s="110"/>
    </row>
    <row r="303" ht="18.75">
      <c r="A303" s="110"/>
    </row>
    <row r="304" ht="18.75">
      <c r="A304" s="110"/>
    </row>
    <row r="305" ht="18.75">
      <c r="A305" s="110"/>
    </row>
    <row r="306" ht="18.75">
      <c r="A306" s="110"/>
    </row>
    <row r="307" ht="18.75">
      <c r="A307" s="110"/>
    </row>
    <row r="308" ht="18.75">
      <c r="A308" s="110"/>
    </row>
    <row r="309" ht="18.75">
      <c r="A309" s="110"/>
    </row>
    <row r="310" ht="18.75">
      <c r="A310" s="110"/>
    </row>
    <row r="311" ht="18.75">
      <c r="A311" s="110"/>
    </row>
    <row r="312" ht="18.75">
      <c r="A312" s="110"/>
    </row>
    <row r="313" ht="18.75">
      <c r="A313" s="110"/>
    </row>
    <row r="314" ht="18.75">
      <c r="A314" s="110"/>
    </row>
    <row r="315" ht="18.75">
      <c r="A315" s="110"/>
    </row>
    <row r="316" ht="18.75">
      <c r="A316" s="110"/>
    </row>
    <row r="317" ht="18.75">
      <c r="A317" s="110"/>
    </row>
    <row r="318" ht="18.75">
      <c r="A318" s="110"/>
    </row>
    <row r="319" ht="18.75">
      <c r="A319" s="110"/>
    </row>
    <row r="320" ht="18.75">
      <c r="A320" s="110"/>
    </row>
    <row r="321" ht="18.75">
      <c r="A321" s="110"/>
    </row>
    <row r="322" ht="18.75">
      <c r="A322" s="110"/>
    </row>
    <row r="323" ht="18.75">
      <c r="A323" s="110"/>
    </row>
    <row r="324" ht="18.75">
      <c r="A324" s="110"/>
    </row>
    <row r="325" ht="18.75">
      <c r="A325" s="110"/>
    </row>
    <row r="326" ht="18.75">
      <c r="A326" s="110"/>
    </row>
    <row r="327" ht="18.75">
      <c r="A327" s="110"/>
    </row>
    <row r="328" ht="18.75">
      <c r="A328" s="110"/>
    </row>
    <row r="329" ht="18.75">
      <c r="A329" s="110"/>
    </row>
    <row r="330" ht="18.75">
      <c r="A330" s="110"/>
    </row>
    <row r="331" ht="18.75">
      <c r="A331" s="110"/>
    </row>
    <row r="332" ht="18.75">
      <c r="A332" s="110"/>
    </row>
    <row r="333" ht="18.75">
      <c r="A333" s="110"/>
    </row>
    <row r="334" ht="18.75">
      <c r="A334" s="110"/>
    </row>
    <row r="335" ht="18.75">
      <c r="A335" s="110"/>
    </row>
    <row r="336" ht="18.75">
      <c r="A336" s="110"/>
    </row>
    <row r="337" ht="18.75">
      <c r="A337" s="110"/>
    </row>
    <row r="338" ht="18.75">
      <c r="A338" s="110"/>
    </row>
    <row r="339" ht="18.75">
      <c r="A339" s="110"/>
    </row>
    <row r="340" ht="18.75">
      <c r="A340" s="110"/>
    </row>
    <row r="341" ht="18.75">
      <c r="A341" s="110"/>
    </row>
    <row r="342" ht="18.75">
      <c r="A342" s="110"/>
    </row>
    <row r="343" ht="18.75">
      <c r="A343" s="110"/>
    </row>
  </sheetData>
  <sheetProtection/>
  <mergeCells count="13">
    <mergeCell ref="I117:J117"/>
    <mergeCell ref="C117:D117"/>
    <mergeCell ref="F117:H117"/>
    <mergeCell ref="C118:D118"/>
    <mergeCell ref="F118:H118"/>
    <mergeCell ref="A3:A4"/>
    <mergeCell ref="B3:B4"/>
    <mergeCell ref="A1:I1"/>
    <mergeCell ref="C3:D3"/>
    <mergeCell ref="E3:I3"/>
    <mergeCell ref="A6:I6"/>
    <mergeCell ref="A99:I99"/>
    <mergeCell ref="A107:I107"/>
  </mergeCells>
  <printOptions/>
  <pageMargins left="0.708333333333333" right="0.236111111111111" top="0.786805555555556" bottom="0.786805555555556" header="0.19652777777777802" footer="0.118055555555556"/>
  <pageSetup horizontalDpi="600" verticalDpi="600" orientation="landscape" paperSize="9" scale="39" r:id="rId1"/>
  <headerFooter alignWithMargins="0">
    <oddHeader>&amp;C
&amp;"Times New Roman,обычный"&amp;14 5&amp;"Arial Cyr,обычный"&amp;10
&amp;R&amp;"Times New Roman,обычный"&amp;14Продовження додатка  3
Таблиця 1</oddHeader>
  </headerFooter>
  <ignoredErrors>
    <ignoredError sqref="H63 H47:H57 G47:G51 H106 H108:H115 G92:G95 G21:G42 G87:G89 G52:G54 G9:G14 G85 H64:H68 G77:G83 H8:H15 H77:H98 G64:G68 H101:H102 F106:G106 G103:G105 H103:H105 C106:E106 G20 H20:H42" evalError="1"/>
  </ignoredErrors>
</worksheet>
</file>

<file path=xl/worksheets/sheet3.xml><?xml version="1.0" encoding="utf-8"?>
<worksheet xmlns="http://schemas.openxmlformats.org/spreadsheetml/2006/main" xmlns:r="http://schemas.openxmlformats.org/officeDocument/2006/relationships">
  <sheetPr>
    <tabColor indexed="43"/>
  </sheetPr>
  <dimension ref="A1:J198"/>
  <sheetViews>
    <sheetView view="pageBreakPreview" zoomScaleNormal="75"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9" sqref="A19:H19"/>
    </sheetView>
  </sheetViews>
  <sheetFormatPr defaultColWidth="9.00390625" defaultRowHeight="12.75"/>
  <cols>
    <col min="1" max="1" width="93.125" style="147" customWidth="1"/>
    <col min="2" max="2" width="15.25390625" style="146" customWidth="1"/>
    <col min="3" max="7" width="18.75390625" style="146" customWidth="1"/>
    <col min="8" max="8" width="15.00390625" style="146" customWidth="1"/>
    <col min="9" max="9" width="17.00390625" style="147" customWidth="1"/>
    <col min="10" max="10" width="9.625" style="147" customWidth="1"/>
    <col min="11" max="11" width="9.125" style="147" bestFit="1" customWidth="1"/>
    <col min="12" max="16384" width="9.125" style="147" customWidth="1"/>
  </cols>
  <sheetData>
    <row r="1" spans="1:8" ht="18.75">
      <c r="A1" s="358" t="s">
        <v>521</v>
      </c>
      <c r="B1" s="358"/>
      <c r="C1" s="358"/>
      <c r="D1" s="358"/>
      <c r="E1" s="358"/>
      <c r="F1" s="358"/>
      <c r="G1" s="358"/>
      <c r="H1" s="358"/>
    </row>
    <row r="2" spans="1:8" ht="18.75">
      <c r="A2" s="358"/>
      <c r="B2" s="358"/>
      <c r="C2" s="358"/>
      <c r="D2" s="358"/>
      <c r="E2" s="358"/>
      <c r="F2" s="358"/>
      <c r="G2" s="358"/>
      <c r="H2" s="358"/>
    </row>
    <row r="3" spans="1:8" ht="38.25" customHeight="1">
      <c r="A3" s="327" t="s">
        <v>38</v>
      </c>
      <c r="B3" s="363" t="s">
        <v>39</v>
      </c>
      <c r="C3" s="359" t="s">
        <v>197</v>
      </c>
      <c r="D3" s="359"/>
      <c r="E3" s="360" t="s">
        <v>41</v>
      </c>
      <c r="F3" s="360"/>
      <c r="G3" s="360"/>
      <c r="H3" s="360"/>
    </row>
    <row r="4" spans="1:8" ht="39" customHeight="1">
      <c r="A4" s="327"/>
      <c r="B4" s="363"/>
      <c r="C4" s="149" t="s">
        <v>42</v>
      </c>
      <c r="D4" s="149" t="s">
        <v>43</v>
      </c>
      <c r="E4" s="149" t="s">
        <v>44</v>
      </c>
      <c r="F4" s="149" t="s">
        <v>45</v>
      </c>
      <c r="G4" s="150" t="s">
        <v>46</v>
      </c>
      <c r="H4" s="150" t="s">
        <v>47</v>
      </c>
    </row>
    <row r="5" spans="1:8" ht="18.75">
      <c r="A5" s="103">
        <v>1</v>
      </c>
      <c r="B5" s="148">
        <v>2</v>
      </c>
      <c r="C5" s="103">
        <v>3</v>
      </c>
      <c r="D5" s="148">
        <v>4</v>
      </c>
      <c r="E5" s="103">
        <v>5</v>
      </c>
      <c r="F5" s="148">
        <v>6</v>
      </c>
      <c r="G5" s="103">
        <v>7</v>
      </c>
      <c r="H5" s="148">
        <v>8</v>
      </c>
    </row>
    <row r="6" spans="1:8" ht="24.75" customHeight="1">
      <c r="A6" s="361" t="s">
        <v>94</v>
      </c>
      <c r="B6" s="361"/>
      <c r="C6" s="361"/>
      <c r="D6" s="361"/>
      <c r="E6" s="361"/>
      <c r="F6" s="361"/>
      <c r="G6" s="361"/>
      <c r="H6" s="361"/>
    </row>
    <row r="7" spans="1:8" ht="42.75" customHeight="1">
      <c r="A7" s="152" t="s">
        <v>530</v>
      </c>
      <c r="B7" s="22">
        <v>2000</v>
      </c>
      <c r="C7" s="122">
        <v>6414.4</v>
      </c>
      <c r="D7" s="122">
        <v>10183.6</v>
      </c>
      <c r="E7" s="125"/>
      <c r="F7" s="121">
        <v>10073.4</v>
      </c>
      <c r="G7" s="136">
        <f aca="true" t="shared" si="0" ref="G7:G18">F7-E7</f>
        <v>10073.4</v>
      </c>
      <c r="H7" s="123" t="e">
        <f>(F7/E7)*100</f>
        <v>#DIV/0!</v>
      </c>
    </row>
    <row r="8" spans="1:8" ht="37.5">
      <c r="A8" s="152" t="s">
        <v>96</v>
      </c>
      <c r="B8" s="22">
        <v>2010</v>
      </c>
      <c r="C8" s="153">
        <f>SUM(C9:C10)</f>
        <v>0</v>
      </c>
      <c r="D8" s="153">
        <f>SUM(D9:D10)</f>
        <v>0</v>
      </c>
      <c r="E8" s="153">
        <f>SUM(E9:E10)</f>
        <v>0</v>
      </c>
      <c r="F8" s="153">
        <f>SUM(F9:F10)</f>
        <v>0</v>
      </c>
      <c r="G8" s="125">
        <f t="shared" si="0"/>
        <v>0</v>
      </c>
      <c r="H8" s="123" t="e">
        <f aca="true" t="shared" si="1" ref="H8:H43">(F8/E8)*100</f>
        <v>#DIV/0!</v>
      </c>
    </row>
    <row r="9" spans="1:8" ht="42.75" customHeight="1">
      <c r="A9" s="85" t="s">
        <v>97</v>
      </c>
      <c r="B9" s="22">
        <v>2011</v>
      </c>
      <c r="C9" s="125" t="s">
        <v>204</v>
      </c>
      <c r="D9" s="125" t="s">
        <v>204</v>
      </c>
      <c r="E9" s="125" t="s">
        <v>204</v>
      </c>
      <c r="F9" s="125" t="s">
        <v>204</v>
      </c>
      <c r="G9" s="125" t="e">
        <f t="shared" si="0"/>
        <v>#VALUE!</v>
      </c>
      <c r="H9" s="123" t="e">
        <f t="shared" si="1"/>
        <v>#VALUE!</v>
      </c>
    </row>
    <row r="10" spans="1:8" ht="42.75" customHeight="1">
      <c r="A10" s="85" t="s">
        <v>98</v>
      </c>
      <c r="B10" s="22">
        <v>2012</v>
      </c>
      <c r="C10" s="125" t="s">
        <v>204</v>
      </c>
      <c r="D10" s="125" t="s">
        <v>204</v>
      </c>
      <c r="E10" s="125" t="s">
        <v>204</v>
      </c>
      <c r="F10" s="125" t="s">
        <v>204</v>
      </c>
      <c r="G10" s="125" t="e">
        <f t="shared" si="0"/>
        <v>#VALUE!</v>
      </c>
      <c r="H10" s="123" t="e">
        <f t="shared" si="1"/>
        <v>#VALUE!</v>
      </c>
    </row>
    <row r="11" spans="1:8" ht="19.5" customHeight="1">
      <c r="A11" s="85" t="s">
        <v>99</v>
      </c>
      <c r="B11" s="22" t="s">
        <v>100</v>
      </c>
      <c r="C11" s="125" t="s">
        <v>204</v>
      </c>
      <c r="D11" s="125" t="s">
        <v>204</v>
      </c>
      <c r="E11" s="125" t="s">
        <v>204</v>
      </c>
      <c r="F11" s="125" t="s">
        <v>204</v>
      </c>
      <c r="G11" s="125" t="e">
        <f t="shared" si="0"/>
        <v>#VALUE!</v>
      </c>
      <c r="H11" s="123" t="e">
        <f t="shared" si="1"/>
        <v>#VALUE!</v>
      </c>
    </row>
    <row r="12" spans="1:8" ht="19.5" customHeight="1">
      <c r="A12" s="85" t="s">
        <v>101</v>
      </c>
      <c r="B12" s="22">
        <v>2020</v>
      </c>
      <c r="C12" s="125"/>
      <c r="D12" s="125"/>
      <c r="E12" s="125"/>
      <c r="F12" s="125"/>
      <c r="G12" s="125">
        <f t="shared" si="0"/>
        <v>0</v>
      </c>
      <c r="H12" s="123" t="e">
        <f t="shared" si="1"/>
        <v>#DIV/0!</v>
      </c>
    </row>
    <row r="13" spans="1:8" s="144" customFormat="1" ht="19.5" customHeight="1">
      <c r="A13" s="152" t="s">
        <v>102</v>
      </c>
      <c r="B13" s="22">
        <v>2030</v>
      </c>
      <c r="C13" s="125" t="s">
        <v>204</v>
      </c>
      <c r="D13" s="125" t="s">
        <v>204</v>
      </c>
      <c r="E13" s="125" t="s">
        <v>204</v>
      </c>
      <c r="F13" s="125" t="s">
        <v>204</v>
      </c>
      <c r="G13" s="125" t="e">
        <f t="shared" si="0"/>
        <v>#VALUE!</v>
      </c>
      <c r="H13" s="123" t="e">
        <f t="shared" si="1"/>
        <v>#VALUE!</v>
      </c>
    </row>
    <row r="14" spans="1:8" ht="19.5" customHeight="1">
      <c r="A14" s="152" t="s">
        <v>266</v>
      </c>
      <c r="B14" s="22">
        <v>2031</v>
      </c>
      <c r="C14" s="125" t="s">
        <v>204</v>
      </c>
      <c r="D14" s="125" t="s">
        <v>204</v>
      </c>
      <c r="E14" s="125" t="s">
        <v>204</v>
      </c>
      <c r="F14" s="125" t="s">
        <v>204</v>
      </c>
      <c r="G14" s="125" t="e">
        <f t="shared" si="0"/>
        <v>#VALUE!</v>
      </c>
      <c r="H14" s="123" t="e">
        <f t="shared" si="1"/>
        <v>#VALUE!</v>
      </c>
    </row>
    <row r="15" spans="1:8" ht="19.5" customHeight="1">
      <c r="A15" s="152" t="s">
        <v>103</v>
      </c>
      <c r="B15" s="22">
        <v>2040</v>
      </c>
      <c r="C15" s="125" t="s">
        <v>204</v>
      </c>
      <c r="D15" s="125" t="s">
        <v>204</v>
      </c>
      <c r="E15" s="125" t="s">
        <v>204</v>
      </c>
      <c r="F15" s="125" t="s">
        <v>204</v>
      </c>
      <c r="G15" s="125" t="e">
        <f t="shared" si="0"/>
        <v>#VALUE!</v>
      </c>
      <c r="H15" s="123" t="e">
        <f t="shared" si="1"/>
        <v>#VALUE!</v>
      </c>
    </row>
    <row r="16" spans="1:8" ht="19.5" customHeight="1">
      <c r="A16" s="152" t="s">
        <v>267</v>
      </c>
      <c r="B16" s="22">
        <v>2050</v>
      </c>
      <c r="C16" s="125" t="s">
        <v>204</v>
      </c>
      <c r="D16" s="125" t="s">
        <v>204</v>
      </c>
      <c r="E16" s="125" t="s">
        <v>204</v>
      </c>
      <c r="F16" s="125" t="s">
        <v>204</v>
      </c>
      <c r="G16" s="125" t="e">
        <f t="shared" si="0"/>
        <v>#VALUE!</v>
      </c>
      <c r="H16" s="123" t="e">
        <f t="shared" si="1"/>
        <v>#VALUE!</v>
      </c>
    </row>
    <row r="17" spans="1:8" ht="39" customHeight="1">
      <c r="A17" s="152" t="s">
        <v>505</v>
      </c>
      <c r="B17" s="22">
        <v>2060</v>
      </c>
      <c r="C17" s="125" t="s">
        <v>204</v>
      </c>
      <c r="D17" s="313">
        <v>-1182.1</v>
      </c>
      <c r="E17" s="125" t="s">
        <v>204</v>
      </c>
      <c r="F17" s="125" t="s">
        <v>204</v>
      </c>
      <c r="G17" s="125" t="e">
        <f t="shared" si="0"/>
        <v>#VALUE!</v>
      </c>
      <c r="H17" s="123" t="e">
        <f t="shared" si="1"/>
        <v>#VALUE!</v>
      </c>
    </row>
    <row r="18" spans="1:8" ht="42.75" customHeight="1">
      <c r="A18" s="152" t="s">
        <v>105</v>
      </c>
      <c r="B18" s="22">
        <v>2070</v>
      </c>
      <c r="C18" s="154">
        <f>SUM(C7,C8,C12,C13,C15,C16,C17)+'I. Фін результат'!C93</f>
        <v>8701.7</v>
      </c>
      <c r="D18" s="154">
        <f>SUM(D7,D8,D12,D13,D15,D16,D17)+'I. Фін результат'!D93</f>
        <v>8564.500000000004</v>
      </c>
      <c r="E18" s="154">
        <f>SUM(E7,E8,E12,E13,E15,E16,E17)+'I. Фін результат'!E93</f>
        <v>0</v>
      </c>
      <c r="F18" s="314">
        <f>SUM(F7,F8,F12,F13,F15,F16,F17)+'I. Фін результат'!F93</f>
        <v>8564.5</v>
      </c>
      <c r="G18" s="122">
        <f t="shared" si="0"/>
        <v>8564.5</v>
      </c>
      <c r="H18" s="155" t="e">
        <f t="shared" si="1"/>
        <v>#DIV/0!</v>
      </c>
    </row>
    <row r="19" spans="1:8" ht="24.75" customHeight="1">
      <c r="A19" s="361" t="s">
        <v>106</v>
      </c>
      <c r="B19" s="361"/>
      <c r="C19" s="361"/>
      <c r="D19" s="361"/>
      <c r="E19" s="361"/>
      <c r="F19" s="361"/>
      <c r="G19" s="361"/>
      <c r="H19" s="361"/>
    </row>
    <row r="20" spans="1:8" ht="37.5">
      <c r="A20" s="151" t="s">
        <v>107</v>
      </c>
      <c r="B20" s="75">
        <v>2110</v>
      </c>
      <c r="C20" s="156">
        <f>SUM(C21:C29)</f>
        <v>0</v>
      </c>
      <c r="D20" s="156">
        <f>SUM(D21:D29)</f>
        <v>0</v>
      </c>
      <c r="E20" s="156">
        <f>SUM(E21:E29)</f>
        <v>0</v>
      </c>
      <c r="F20" s="156">
        <f>SUM(F21:F29)</f>
        <v>0</v>
      </c>
      <c r="G20" s="135">
        <f aca="true" t="shared" si="2" ref="G20:G25">F20-E20</f>
        <v>0</v>
      </c>
      <c r="H20" s="120" t="e">
        <f t="shared" si="1"/>
        <v>#DIV/0!</v>
      </c>
    </row>
    <row r="21" spans="1:8" ht="22.5" customHeight="1">
      <c r="A21" s="85" t="s">
        <v>108</v>
      </c>
      <c r="B21" s="22">
        <v>2111</v>
      </c>
      <c r="C21" s="125"/>
      <c r="D21" s="125"/>
      <c r="E21" s="125"/>
      <c r="F21" s="125"/>
      <c r="G21" s="125">
        <f t="shared" si="2"/>
        <v>0</v>
      </c>
      <c r="H21" s="123" t="e">
        <f t="shared" si="1"/>
        <v>#DIV/0!</v>
      </c>
    </row>
    <row r="22" spans="1:8" ht="24.75" customHeight="1">
      <c r="A22" s="85" t="s">
        <v>109</v>
      </c>
      <c r="B22" s="22">
        <v>2112</v>
      </c>
      <c r="C22" s="125"/>
      <c r="D22" s="125"/>
      <c r="E22" s="125"/>
      <c r="F22" s="125"/>
      <c r="G22" s="125">
        <f t="shared" si="2"/>
        <v>0</v>
      </c>
      <c r="H22" s="123" t="e">
        <f t="shared" si="1"/>
        <v>#DIV/0!</v>
      </c>
    </row>
    <row r="23" spans="1:8" s="144" customFormat="1" ht="18.75" customHeight="1">
      <c r="A23" s="152" t="s">
        <v>110</v>
      </c>
      <c r="B23" s="103">
        <v>2113</v>
      </c>
      <c r="C23" s="125" t="s">
        <v>204</v>
      </c>
      <c r="D23" s="125" t="s">
        <v>204</v>
      </c>
      <c r="E23" s="125" t="s">
        <v>204</v>
      </c>
      <c r="F23" s="125" t="s">
        <v>204</v>
      </c>
      <c r="G23" s="125" t="e">
        <f t="shared" si="2"/>
        <v>#VALUE!</v>
      </c>
      <c r="H23" s="123" t="e">
        <f t="shared" si="1"/>
        <v>#VALUE!</v>
      </c>
    </row>
    <row r="24" spans="1:8" ht="18.75">
      <c r="A24" s="152" t="s">
        <v>111</v>
      </c>
      <c r="B24" s="103">
        <v>2114</v>
      </c>
      <c r="C24" s="125"/>
      <c r="D24" s="125"/>
      <c r="E24" s="125"/>
      <c r="F24" s="125"/>
      <c r="G24" s="125">
        <f t="shared" si="2"/>
        <v>0</v>
      </c>
      <c r="H24" s="123" t="e">
        <f t="shared" si="1"/>
        <v>#DIV/0!</v>
      </c>
    </row>
    <row r="25" spans="1:8" ht="37.5">
      <c r="A25" s="152" t="s">
        <v>112</v>
      </c>
      <c r="B25" s="103">
        <v>2115</v>
      </c>
      <c r="C25" s="125"/>
      <c r="D25" s="125"/>
      <c r="E25" s="125"/>
      <c r="F25" s="125"/>
      <c r="G25" s="125">
        <f t="shared" si="2"/>
        <v>0</v>
      </c>
      <c r="H25" s="123" t="e">
        <f t="shared" si="1"/>
        <v>#DIV/0!</v>
      </c>
    </row>
    <row r="26" spans="1:9" s="145" customFormat="1" ht="18.75">
      <c r="A26" s="152" t="s">
        <v>113</v>
      </c>
      <c r="B26" s="103">
        <v>2116</v>
      </c>
      <c r="C26" s="125"/>
      <c r="D26" s="125"/>
      <c r="E26" s="125"/>
      <c r="F26" s="125"/>
      <c r="G26" s="125">
        <f aca="true" t="shared" si="3" ref="G26:G43">F26-E26</f>
        <v>0</v>
      </c>
      <c r="H26" s="123" t="e">
        <f t="shared" si="1"/>
        <v>#DIV/0!</v>
      </c>
      <c r="I26" s="147"/>
    </row>
    <row r="27" spans="1:8" ht="19.5" customHeight="1">
      <c r="A27" s="152" t="s">
        <v>114</v>
      </c>
      <c r="B27" s="103">
        <v>2117</v>
      </c>
      <c r="C27" s="125"/>
      <c r="D27" s="125"/>
      <c r="E27" s="125"/>
      <c r="F27" s="125"/>
      <c r="G27" s="125">
        <f t="shared" si="3"/>
        <v>0</v>
      </c>
      <c r="H27" s="123" t="e">
        <f t="shared" si="1"/>
        <v>#DIV/0!</v>
      </c>
    </row>
    <row r="28" spans="1:8" ht="19.5" customHeight="1">
      <c r="A28" s="152" t="s">
        <v>268</v>
      </c>
      <c r="B28" s="103">
        <v>2118</v>
      </c>
      <c r="C28" s="125"/>
      <c r="D28" s="125"/>
      <c r="E28" s="125"/>
      <c r="F28" s="125"/>
      <c r="G28" s="125">
        <f t="shared" si="3"/>
        <v>0</v>
      </c>
      <c r="H28" s="123" t="e">
        <f t="shared" si="1"/>
        <v>#DIV/0!</v>
      </c>
    </row>
    <row r="29" spans="1:8" ht="19.5" customHeight="1">
      <c r="A29" s="152" t="s">
        <v>269</v>
      </c>
      <c r="B29" s="103">
        <v>2119</v>
      </c>
      <c r="C29" s="125"/>
      <c r="D29" s="125"/>
      <c r="E29" s="125"/>
      <c r="F29" s="125"/>
      <c r="G29" s="125">
        <f t="shared" si="3"/>
        <v>0</v>
      </c>
      <c r="H29" s="123" t="e">
        <f t="shared" si="1"/>
        <v>#DIV/0!</v>
      </c>
    </row>
    <row r="30" spans="1:8" ht="37.5">
      <c r="A30" s="151" t="s">
        <v>270</v>
      </c>
      <c r="B30" s="157">
        <v>2120</v>
      </c>
      <c r="C30" s="127">
        <f>SUM(C31:C34)</f>
        <v>1045.2</v>
      </c>
      <c r="D30" s="127">
        <f>SUM(D31:D34)</f>
        <v>1629.9</v>
      </c>
      <c r="E30" s="127">
        <f>SUM(E31:E34)</f>
        <v>880</v>
      </c>
      <c r="F30" s="127">
        <f>SUM(F31:F34)</f>
        <v>913</v>
      </c>
      <c r="G30" s="119">
        <f t="shared" si="3"/>
        <v>33</v>
      </c>
      <c r="H30" s="120">
        <f t="shared" si="1"/>
        <v>103.75000000000001</v>
      </c>
    </row>
    <row r="31" spans="1:8" ht="31.5" customHeight="1">
      <c r="A31" s="152" t="s">
        <v>268</v>
      </c>
      <c r="B31" s="103">
        <v>2121</v>
      </c>
      <c r="C31" s="122">
        <v>1045.2</v>
      </c>
      <c r="D31" s="122">
        <f>716.9+913</f>
        <v>1629.9</v>
      </c>
      <c r="E31" s="122">
        <v>880</v>
      </c>
      <c r="F31" s="122">
        <v>913</v>
      </c>
      <c r="G31" s="119">
        <f t="shared" si="3"/>
        <v>33</v>
      </c>
      <c r="H31" s="123">
        <f t="shared" si="1"/>
        <v>103.75000000000001</v>
      </c>
    </row>
    <row r="32" spans="1:8" ht="19.5" customHeight="1">
      <c r="A32" s="152" t="s">
        <v>271</v>
      </c>
      <c r="B32" s="103">
        <v>2122</v>
      </c>
      <c r="C32" s="122"/>
      <c r="D32" s="122"/>
      <c r="E32" s="122"/>
      <c r="F32" s="122"/>
      <c r="G32" s="119"/>
      <c r="H32" s="123" t="e">
        <f t="shared" si="1"/>
        <v>#DIV/0!</v>
      </c>
    </row>
    <row r="33" spans="1:8" ht="19.5" customHeight="1">
      <c r="A33" s="152" t="s">
        <v>272</v>
      </c>
      <c r="B33" s="103">
        <v>2123</v>
      </c>
      <c r="C33" s="122"/>
      <c r="D33" s="122"/>
      <c r="E33" s="122"/>
      <c r="F33" s="122"/>
      <c r="G33" s="122"/>
      <c r="H33" s="123" t="e">
        <f t="shared" si="1"/>
        <v>#DIV/0!</v>
      </c>
    </row>
    <row r="34" spans="1:8" s="144" customFormat="1" ht="18.75">
      <c r="A34" s="152" t="s">
        <v>269</v>
      </c>
      <c r="B34" s="103">
        <v>2124</v>
      </c>
      <c r="C34" s="122"/>
      <c r="D34" s="122"/>
      <c r="E34" s="122"/>
      <c r="F34" s="122"/>
      <c r="G34" s="122">
        <f t="shared" si="3"/>
        <v>0</v>
      </c>
      <c r="H34" s="123" t="e">
        <f t="shared" si="1"/>
        <v>#DIV/0!</v>
      </c>
    </row>
    <row r="35" spans="1:8" ht="21.75" customHeight="1">
      <c r="A35" s="151" t="s">
        <v>273</v>
      </c>
      <c r="B35" s="157">
        <v>2130</v>
      </c>
      <c r="C35" s="127">
        <f>SUM(C36:C39)</f>
        <v>1315.5</v>
      </c>
      <c r="D35" s="127">
        <f>SUM(D36:D39)</f>
        <v>1984</v>
      </c>
      <c r="E35" s="127">
        <f>SUM(E36:E39)</f>
        <v>1070</v>
      </c>
      <c r="F35" s="127">
        <f>SUM(F36:F39)</f>
        <v>1130.3</v>
      </c>
      <c r="G35" s="119">
        <f t="shared" si="3"/>
        <v>60.299999999999955</v>
      </c>
      <c r="H35" s="120">
        <f t="shared" si="1"/>
        <v>105.63551401869158</v>
      </c>
    </row>
    <row r="36" spans="1:8" ht="60.75" customHeight="1">
      <c r="A36" s="152" t="s">
        <v>117</v>
      </c>
      <c r="B36" s="103">
        <v>2131</v>
      </c>
      <c r="C36" s="122"/>
      <c r="D36" s="122"/>
      <c r="E36" s="122"/>
      <c r="F36" s="122"/>
      <c r="G36" s="122">
        <f t="shared" si="3"/>
        <v>0</v>
      </c>
      <c r="H36" s="123" t="e">
        <f t="shared" si="1"/>
        <v>#DIV/0!</v>
      </c>
    </row>
    <row r="37" spans="1:8" s="144" customFormat="1" ht="19.5" customHeight="1">
      <c r="A37" s="152" t="s">
        <v>274</v>
      </c>
      <c r="B37" s="103">
        <v>2132</v>
      </c>
      <c r="C37" s="122"/>
      <c r="D37" s="122"/>
      <c r="E37" s="122"/>
      <c r="F37" s="122"/>
      <c r="G37" s="122">
        <f t="shared" si="3"/>
        <v>0</v>
      </c>
      <c r="H37" s="123" t="e">
        <f t="shared" si="1"/>
        <v>#DIV/0!</v>
      </c>
    </row>
    <row r="38" spans="1:8" ht="37.5" customHeight="1">
      <c r="A38" s="152" t="s">
        <v>275</v>
      </c>
      <c r="B38" s="103">
        <v>2133</v>
      </c>
      <c r="C38" s="122">
        <v>1227.6</v>
      </c>
      <c r="D38" s="122">
        <f>800.7+1051.2</f>
        <v>1851.9</v>
      </c>
      <c r="E38" s="122">
        <v>1000</v>
      </c>
      <c r="F38" s="122">
        <v>1051.2</v>
      </c>
      <c r="G38" s="122">
        <f t="shared" si="3"/>
        <v>51.200000000000045</v>
      </c>
      <c r="H38" s="123">
        <f t="shared" si="1"/>
        <v>105.12000000000002</v>
      </c>
    </row>
    <row r="39" spans="1:8" ht="36" customHeight="1">
      <c r="A39" s="152" t="s">
        <v>276</v>
      </c>
      <c r="B39" s="103">
        <v>2134</v>
      </c>
      <c r="C39" s="122">
        <v>87.9</v>
      </c>
      <c r="D39" s="122">
        <f>53+79.1</f>
        <v>132.1</v>
      </c>
      <c r="E39" s="122">
        <v>70</v>
      </c>
      <c r="F39" s="122">
        <v>79.1</v>
      </c>
      <c r="G39" s="122">
        <f t="shared" si="3"/>
        <v>9.099999999999994</v>
      </c>
      <c r="H39" s="123">
        <f t="shared" si="1"/>
        <v>112.99999999999999</v>
      </c>
    </row>
    <row r="40" spans="1:8" ht="19.5" customHeight="1">
      <c r="A40" s="151" t="s">
        <v>277</v>
      </c>
      <c r="B40" s="157">
        <v>2140</v>
      </c>
      <c r="C40" s="127">
        <f>SUM(C41:C42)</f>
        <v>0</v>
      </c>
      <c r="D40" s="127">
        <f>SUM(D41:D42)</f>
        <v>0</v>
      </c>
      <c r="E40" s="127">
        <f>SUM(E41:E42)</f>
        <v>0</v>
      </c>
      <c r="F40" s="127">
        <f>SUM(F41:F42)</f>
        <v>0</v>
      </c>
      <c r="G40" s="119"/>
      <c r="H40" s="120" t="e">
        <f t="shared" si="1"/>
        <v>#DIV/0!</v>
      </c>
    </row>
    <row r="41" spans="1:8" ht="37.5">
      <c r="A41" s="152" t="s">
        <v>278</v>
      </c>
      <c r="B41" s="103">
        <v>2141</v>
      </c>
      <c r="C41" s="122"/>
      <c r="D41" s="122"/>
      <c r="E41" s="122"/>
      <c r="F41" s="122"/>
      <c r="G41" s="122"/>
      <c r="H41" s="123" t="e">
        <f t="shared" si="1"/>
        <v>#DIV/0!</v>
      </c>
    </row>
    <row r="42" spans="1:8" s="144" customFormat="1" ht="19.5" customHeight="1">
      <c r="A42" s="152" t="s">
        <v>279</v>
      </c>
      <c r="B42" s="103">
        <v>2142</v>
      </c>
      <c r="C42" s="122"/>
      <c r="D42" s="122"/>
      <c r="E42" s="122"/>
      <c r="F42" s="122"/>
      <c r="G42" s="122">
        <f t="shared" si="3"/>
        <v>0</v>
      </c>
      <c r="H42" s="123" t="e">
        <f t="shared" si="1"/>
        <v>#DIV/0!</v>
      </c>
    </row>
    <row r="43" spans="1:9" s="144" customFormat="1" ht="33" customHeight="1">
      <c r="A43" s="151" t="s">
        <v>119</v>
      </c>
      <c r="B43" s="157">
        <v>2200</v>
      </c>
      <c r="C43" s="127">
        <f>SUM(C20,C30,C35,C40)</f>
        <v>2360.7</v>
      </c>
      <c r="D43" s="127">
        <f>SUM(D20,D30,D35,D40)</f>
        <v>3613.9</v>
      </c>
      <c r="E43" s="127">
        <f>SUM(E20,E30,E35,E40)</f>
        <v>1950</v>
      </c>
      <c r="F43" s="127">
        <f>SUM(F20,F30,F35,F40)</f>
        <v>2043.3</v>
      </c>
      <c r="G43" s="119">
        <f t="shared" si="3"/>
        <v>93.29999999999995</v>
      </c>
      <c r="H43" s="120">
        <f t="shared" si="1"/>
        <v>104.78461538461539</v>
      </c>
      <c r="I43" s="147"/>
    </row>
    <row r="44" spans="1:8" s="144" customFormat="1" ht="18.75">
      <c r="A44" s="158"/>
      <c r="B44" s="146"/>
      <c r="C44" s="146"/>
      <c r="D44" s="146"/>
      <c r="E44" s="146"/>
      <c r="F44" s="146"/>
      <c r="G44" s="146"/>
      <c r="H44" s="146"/>
    </row>
    <row r="45" spans="1:8" s="144" customFormat="1" ht="18.75">
      <c r="A45" s="158"/>
      <c r="B45" s="146"/>
      <c r="C45" s="146"/>
      <c r="D45" s="146"/>
      <c r="E45" s="146"/>
      <c r="F45" s="146"/>
      <c r="G45" s="146"/>
      <c r="H45" s="146"/>
    </row>
    <row r="46" spans="1:8" s="144" customFormat="1" ht="18.75">
      <c r="A46" s="158"/>
      <c r="B46" s="146"/>
      <c r="C46" s="146"/>
      <c r="D46" s="146"/>
      <c r="E46" s="146"/>
      <c r="F46" s="146"/>
      <c r="G46" s="146"/>
      <c r="H46" s="146"/>
    </row>
    <row r="47" spans="1:8" s="57" customFormat="1" ht="27.75" customHeight="1">
      <c r="A47" s="99" t="s">
        <v>193</v>
      </c>
      <c r="B47" s="16"/>
      <c r="C47" s="318" t="s">
        <v>529</v>
      </c>
      <c r="D47" s="318"/>
      <c r="E47" s="100"/>
      <c r="F47" s="357"/>
      <c r="G47" s="357"/>
      <c r="H47" s="357"/>
    </row>
    <row r="48" spans="1:8" s="6" customFormat="1" ht="18.75">
      <c r="A48" s="101" t="s">
        <v>195</v>
      </c>
      <c r="B48" s="57"/>
      <c r="C48" s="318"/>
      <c r="D48" s="318"/>
      <c r="E48" s="57"/>
      <c r="F48" s="362"/>
      <c r="G48" s="362"/>
      <c r="H48" s="362"/>
    </row>
    <row r="49" spans="1:10" s="146" customFormat="1" ht="18.75">
      <c r="A49" s="160"/>
      <c r="I49" s="147"/>
      <c r="J49" s="147"/>
    </row>
    <row r="50" spans="1:10" s="146" customFormat="1" ht="18.75">
      <c r="A50" s="160"/>
      <c r="I50" s="147"/>
      <c r="J50" s="147"/>
    </row>
    <row r="51" spans="1:10" s="146" customFormat="1" ht="18.75">
      <c r="A51" s="160"/>
      <c r="I51" s="147"/>
      <c r="J51" s="147"/>
    </row>
    <row r="52" spans="1:10" s="146" customFormat="1" ht="18.75">
      <c r="A52" s="160"/>
      <c r="I52" s="147"/>
      <c r="J52" s="147"/>
    </row>
    <row r="53" spans="1:10" s="146" customFormat="1" ht="18.75">
      <c r="A53" s="160"/>
      <c r="I53" s="147"/>
      <c r="J53" s="147"/>
    </row>
    <row r="54" spans="1:10" s="146" customFormat="1" ht="18.75">
      <c r="A54" s="160"/>
      <c r="I54" s="147"/>
      <c r="J54" s="147"/>
    </row>
    <row r="55" spans="1:10" s="146" customFormat="1" ht="18.75">
      <c r="A55" s="160"/>
      <c r="I55" s="147"/>
      <c r="J55" s="147"/>
    </row>
    <row r="56" spans="1:10" s="146" customFormat="1" ht="18.75">
      <c r="A56" s="160"/>
      <c r="I56" s="147"/>
      <c r="J56" s="147"/>
    </row>
    <row r="57" spans="1:10" s="146" customFormat="1" ht="18.75">
      <c r="A57" s="160"/>
      <c r="I57" s="147"/>
      <c r="J57" s="147"/>
    </row>
    <row r="58" spans="1:10" s="146" customFormat="1" ht="18.75">
      <c r="A58" s="160"/>
      <c r="I58" s="147"/>
      <c r="J58" s="147"/>
    </row>
    <row r="59" spans="1:10" s="146" customFormat="1" ht="18.75">
      <c r="A59" s="160"/>
      <c r="I59" s="147"/>
      <c r="J59" s="147"/>
    </row>
    <row r="60" spans="1:10" s="146" customFormat="1" ht="18.75">
      <c r="A60" s="160"/>
      <c r="I60" s="147"/>
      <c r="J60" s="147"/>
    </row>
    <row r="61" spans="1:10" s="146" customFormat="1" ht="18.75">
      <c r="A61" s="160"/>
      <c r="I61" s="147"/>
      <c r="J61" s="147"/>
    </row>
    <row r="62" spans="1:10" s="146" customFormat="1" ht="18.75">
      <c r="A62" s="160"/>
      <c r="I62" s="147"/>
      <c r="J62" s="147"/>
    </row>
    <row r="63" spans="1:10" s="146" customFormat="1" ht="18.75">
      <c r="A63" s="160"/>
      <c r="I63" s="147"/>
      <c r="J63" s="147"/>
    </row>
    <row r="64" spans="1:10" s="146" customFormat="1" ht="18.75">
      <c r="A64" s="160"/>
      <c r="I64" s="147"/>
      <c r="J64" s="147"/>
    </row>
    <row r="65" spans="1:10" s="146" customFormat="1" ht="18.75">
      <c r="A65" s="160"/>
      <c r="I65" s="147"/>
      <c r="J65" s="147"/>
    </row>
    <row r="66" spans="1:10" s="146" customFormat="1" ht="18.75">
      <c r="A66" s="160"/>
      <c r="I66" s="147"/>
      <c r="J66" s="147"/>
    </row>
    <row r="67" spans="1:10" s="146" customFormat="1" ht="18.75">
      <c r="A67" s="160"/>
      <c r="I67" s="147"/>
      <c r="J67" s="147"/>
    </row>
    <row r="68" spans="1:10" s="146" customFormat="1" ht="18.75">
      <c r="A68" s="160"/>
      <c r="I68" s="147"/>
      <c r="J68" s="147"/>
    </row>
    <row r="69" spans="1:10" s="146" customFormat="1" ht="18.75">
      <c r="A69" s="160"/>
      <c r="I69" s="147"/>
      <c r="J69" s="147"/>
    </row>
    <row r="70" spans="1:10" s="146" customFormat="1" ht="18.75">
      <c r="A70" s="160"/>
      <c r="I70" s="147"/>
      <c r="J70" s="147"/>
    </row>
    <row r="71" spans="1:10" s="146" customFormat="1" ht="18.75">
      <c r="A71" s="160"/>
      <c r="I71" s="147"/>
      <c r="J71" s="147"/>
    </row>
    <row r="72" spans="1:10" s="146" customFormat="1" ht="18.75">
      <c r="A72" s="160"/>
      <c r="I72" s="147"/>
      <c r="J72" s="147"/>
    </row>
    <row r="73" spans="1:10" s="146" customFormat="1" ht="18.75">
      <c r="A73" s="160"/>
      <c r="I73" s="147"/>
      <c r="J73" s="147"/>
    </row>
    <row r="74" spans="1:10" s="146" customFormat="1" ht="18.75">
      <c r="A74" s="160"/>
      <c r="I74" s="147"/>
      <c r="J74" s="147"/>
    </row>
    <row r="75" spans="1:10" s="146" customFormat="1" ht="18.75">
      <c r="A75" s="160"/>
      <c r="I75" s="147"/>
      <c r="J75" s="147"/>
    </row>
    <row r="76" spans="1:10" s="146" customFormat="1" ht="18.75">
      <c r="A76" s="160"/>
      <c r="I76" s="147"/>
      <c r="J76" s="147"/>
    </row>
    <row r="77" spans="1:10" s="146" customFormat="1" ht="18.75">
      <c r="A77" s="160"/>
      <c r="I77" s="147"/>
      <c r="J77" s="147"/>
    </row>
    <row r="78" spans="1:10" s="146" customFormat="1" ht="18.75">
      <c r="A78" s="160"/>
      <c r="I78" s="147"/>
      <c r="J78" s="147"/>
    </row>
    <row r="79" spans="1:10" s="146" customFormat="1" ht="18.75">
      <c r="A79" s="160"/>
      <c r="I79" s="147"/>
      <c r="J79" s="147"/>
    </row>
    <row r="80" spans="1:10" s="146" customFormat="1" ht="18.75">
      <c r="A80" s="160"/>
      <c r="I80" s="147"/>
      <c r="J80" s="147"/>
    </row>
    <row r="81" spans="1:10" s="146" customFormat="1" ht="18.75">
      <c r="A81" s="160"/>
      <c r="I81" s="147"/>
      <c r="J81" s="147"/>
    </row>
    <row r="82" spans="1:10" s="146" customFormat="1" ht="18.75">
      <c r="A82" s="160"/>
      <c r="I82" s="147"/>
      <c r="J82" s="147"/>
    </row>
    <row r="83" spans="1:10" s="146" customFormat="1" ht="18.75">
      <c r="A83" s="160"/>
      <c r="I83" s="147"/>
      <c r="J83" s="147"/>
    </row>
    <row r="84" spans="1:10" s="146" customFormat="1" ht="18.75">
      <c r="A84" s="160"/>
      <c r="I84" s="147"/>
      <c r="J84" s="147"/>
    </row>
    <row r="85" spans="1:10" s="146" customFormat="1" ht="18.75">
      <c r="A85" s="160"/>
      <c r="I85" s="147"/>
      <c r="J85" s="147"/>
    </row>
    <row r="86" spans="1:10" s="146" customFormat="1" ht="18.75">
      <c r="A86" s="160"/>
      <c r="I86" s="147"/>
      <c r="J86" s="147"/>
    </row>
    <row r="87" spans="1:10" s="146" customFormat="1" ht="18.75">
      <c r="A87" s="160"/>
      <c r="I87" s="147"/>
      <c r="J87" s="147"/>
    </row>
    <row r="88" spans="1:10" s="146" customFormat="1" ht="18.75">
      <c r="A88" s="160"/>
      <c r="I88" s="147"/>
      <c r="J88" s="147"/>
    </row>
    <row r="89" spans="1:10" s="146" customFormat="1" ht="18.75">
      <c r="A89" s="160"/>
      <c r="I89" s="147"/>
      <c r="J89" s="147"/>
    </row>
    <row r="90" spans="1:10" s="146" customFormat="1" ht="18.75">
      <c r="A90" s="160"/>
      <c r="I90" s="147"/>
      <c r="J90" s="147"/>
    </row>
    <row r="91" spans="1:10" s="146" customFormat="1" ht="18.75">
      <c r="A91" s="160"/>
      <c r="I91" s="147"/>
      <c r="J91" s="147"/>
    </row>
    <row r="92" spans="1:10" s="146" customFormat="1" ht="18.75">
      <c r="A92" s="160"/>
      <c r="I92" s="147"/>
      <c r="J92" s="147"/>
    </row>
    <row r="93" spans="1:10" s="146" customFormat="1" ht="18.75">
      <c r="A93" s="160"/>
      <c r="I93" s="147"/>
      <c r="J93" s="147"/>
    </row>
    <row r="94" spans="1:10" s="146" customFormat="1" ht="18.75">
      <c r="A94" s="160"/>
      <c r="I94" s="147"/>
      <c r="J94" s="147"/>
    </row>
    <row r="95" spans="1:10" s="146" customFormat="1" ht="18.75">
      <c r="A95" s="160"/>
      <c r="I95" s="147"/>
      <c r="J95" s="147"/>
    </row>
    <row r="96" spans="1:10" s="146" customFormat="1" ht="18.75">
      <c r="A96" s="160"/>
      <c r="I96" s="147"/>
      <c r="J96" s="147"/>
    </row>
    <row r="97" spans="1:10" s="146" customFormat="1" ht="18.75">
      <c r="A97" s="160"/>
      <c r="I97" s="147"/>
      <c r="J97" s="147"/>
    </row>
    <row r="98" spans="1:10" s="146" customFormat="1" ht="18.75">
      <c r="A98" s="160"/>
      <c r="I98" s="147"/>
      <c r="J98" s="147"/>
    </row>
    <row r="99" spans="1:10" s="146" customFormat="1" ht="18.75">
      <c r="A99" s="160"/>
      <c r="I99" s="147"/>
      <c r="J99" s="147"/>
    </row>
    <row r="100" spans="1:10" s="146" customFormat="1" ht="18.75">
      <c r="A100" s="160"/>
      <c r="I100" s="147"/>
      <c r="J100" s="147"/>
    </row>
    <row r="101" spans="1:10" s="146" customFormat="1" ht="18.75">
      <c r="A101" s="160"/>
      <c r="I101" s="147"/>
      <c r="J101" s="147"/>
    </row>
    <row r="102" spans="1:10" s="146" customFormat="1" ht="18.75">
      <c r="A102" s="160"/>
      <c r="I102" s="147"/>
      <c r="J102" s="147"/>
    </row>
    <row r="103" spans="1:10" s="146" customFormat="1" ht="18.75">
      <c r="A103" s="160"/>
      <c r="I103" s="147"/>
      <c r="J103" s="147"/>
    </row>
    <row r="104" spans="1:10" s="146" customFormat="1" ht="18.75">
      <c r="A104" s="160"/>
      <c r="I104" s="147"/>
      <c r="J104" s="147"/>
    </row>
    <row r="105" spans="1:10" s="146" customFormat="1" ht="18.75">
      <c r="A105" s="160"/>
      <c r="I105" s="147"/>
      <c r="J105" s="147"/>
    </row>
    <row r="106" spans="1:10" s="146" customFormat="1" ht="18.75">
      <c r="A106" s="160"/>
      <c r="I106" s="147"/>
      <c r="J106" s="147"/>
    </row>
    <row r="107" spans="1:10" s="146" customFormat="1" ht="18.75">
      <c r="A107" s="160"/>
      <c r="I107" s="147"/>
      <c r="J107" s="147"/>
    </row>
    <row r="108" spans="1:10" s="146" customFormat="1" ht="18.75">
      <c r="A108" s="160"/>
      <c r="I108" s="147"/>
      <c r="J108" s="147"/>
    </row>
    <row r="109" spans="1:10" s="146" customFormat="1" ht="18.75">
      <c r="A109" s="160"/>
      <c r="I109" s="147"/>
      <c r="J109" s="147"/>
    </row>
    <row r="110" spans="1:10" s="146" customFormat="1" ht="18.75">
      <c r="A110" s="160"/>
      <c r="I110" s="147"/>
      <c r="J110" s="147"/>
    </row>
    <row r="111" spans="1:10" s="146" customFormat="1" ht="18.75">
      <c r="A111" s="160"/>
      <c r="I111" s="147"/>
      <c r="J111" s="147"/>
    </row>
    <row r="112" spans="1:10" s="146" customFormat="1" ht="18.75">
      <c r="A112" s="160"/>
      <c r="I112" s="147"/>
      <c r="J112" s="147"/>
    </row>
    <row r="113" spans="1:10" s="146" customFormat="1" ht="18.75">
      <c r="A113" s="160"/>
      <c r="I113" s="147"/>
      <c r="J113" s="147"/>
    </row>
    <row r="114" spans="1:10" s="146" customFormat="1" ht="18.75">
      <c r="A114" s="160"/>
      <c r="I114" s="147"/>
      <c r="J114" s="147"/>
    </row>
    <row r="115" spans="1:10" s="146" customFormat="1" ht="18.75">
      <c r="A115" s="160"/>
      <c r="I115" s="147"/>
      <c r="J115" s="147"/>
    </row>
    <row r="116" spans="1:10" s="146" customFormat="1" ht="18.75">
      <c r="A116" s="160"/>
      <c r="I116" s="147"/>
      <c r="J116" s="147"/>
    </row>
    <row r="117" spans="1:10" s="146" customFormat="1" ht="18.75">
      <c r="A117" s="160"/>
      <c r="I117" s="147"/>
      <c r="J117" s="147"/>
    </row>
    <row r="118" spans="1:10" s="146" customFormat="1" ht="18.75">
      <c r="A118" s="160"/>
      <c r="I118" s="147"/>
      <c r="J118" s="147"/>
    </row>
    <row r="119" spans="1:10" s="146" customFormat="1" ht="18.75">
      <c r="A119" s="160"/>
      <c r="I119" s="147"/>
      <c r="J119" s="147"/>
    </row>
    <row r="120" spans="1:10" s="146" customFormat="1" ht="18.75">
      <c r="A120" s="160"/>
      <c r="I120" s="147"/>
      <c r="J120" s="147"/>
    </row>
    <row r="121" spans="1:10" s="146" customFormat="1" ht="18.75">
      <c r="A121" s="160"/>
      <c r="I121" s="147"/>
      <c r="J121" s="147"/>
    </row>
    <row r="122" spans="1:10" s="146" customFormat="1" ht="18.75">
      <c r="A122" s="160"/>
      <c r="I122" s="147"/>
      <c r="J122" s="147"/>
    </row>
    <row r="123" spans="1:10" s="146" customFormat="1" ht="18.75">
      <c r="A123" s="160"/>
      <c r="I123" s="147"/>
      <c r="J123" s="147"/>
    </row>
    <row r="124" spans="1:10" s="146" customFormat="1" ht="18.75">
      <c r="A124" s="160"/>
      <c r="I124" s="147"/>
      <c r="J124" s="147"/>
    </row>
    <row r="125" spans="1:10" s="146" customFormat="1" ht="18.75">
      <c r="A125" s="160"/>
      <c r="I125" s="147"/>
      <c r="J125" s="147"/>
    </row>
    <row r="126" spans="1:10" s="146" customFormat="1" ht="18.75">
      <c r="A126" s="160"/>
      <c r="I126" s="147"/>
      <c r="J126" s="147"/>
    </row>
    <row r="127" spans="1:10" s="146" customFormat="1" ht="18.75">
      <c r="A127" s="160"/>
      <c r="I127" s="147"/>
      <c r="J127" s="147"/>
    </row>
    <row r="128" spans="1:10" s="146" customFormat="1" ht="18.75">
      <c r="A128" s="160"/>
      <c r="I128" s="147"/>
      <c r="J128" s="147"/>
    </row>
    <row r="129" spans="1:10" s="146" customFormat="1" ht="18.75">
      <c r="A129" s="160"/>
      <c r="I129" s="147"/>
      <c r="J129" s="147"/>
    </row>
    <row r="130" spans="1:10" s="146" customFormat="1" ht="18.75">
      <c r="A130" s="160"/>
      <c r="I130" s="147"/>
      <c r="J130" s="147"/>
    </row>
    <row r="131" spans="1:10" s="146" customFormat="1" ht="18.75">
      <c r="A131" s="160"/>
      <c r="I131" s="147"/>
      <c r="J131" s="147"/>
    </row>
    <row r="132" spans="1:10" s="146" customFormat="1" ht="18.75">
      <c r="A132" s="160"/>
      <c r="I132" s="147"/>
      <c r="J132" s="147"/>
    </row>
    <row r="133" spans="1:10" s="146" customFormat="1" ht="18.75">
      <c r="A133" s="160"/>
      <c r="I133" s="147"/>
      <c r="J133" s="147"/>
    </row>
    <row r="134" spans="1:10" s="146" customFormat="1" ht="18.75">
      <c r="A134" s="160"/>
      <c r="I134" s="147"/>
      <c r="J134" s="147"/>
    </row>
    <row r="135" spans="1:10" s="146" customFormat="1" ht="18.75">
      <c r="A135" s="160"/>
      <c r="I135" s="147"/>
      <c r="J135" s="147"/>
    </row>
    <row r="136" spans="1:10" s="146" customFormat="1" ht="18.75">
      <c r="A136" s="160"/>
      <c r="I136" s="147"/>
      <c r="J136" s="147"/>
    </row>
    <row r="137" spans="1:10" s="146" customFormat="1" ht="18.75">
      <c r="A137" s="160"/>
      <c r="I137" s="147"/>
      <c r="J137" s="147"/>
    </row>
    <row r="138" spans="1:10" s="146" customFormat="1" ht="18.75">
      <c r="A138" s="160"/>
      <c r="I138" s="147"/>
      <c r="J138" s="147"/>
    </row>
    <row r="139" spans="1:10" s="146" customFormat="1" ht="18.75">
      <c r="A139" s="160"/>
      <c r="I139" s="147"/>
      <c r="J139" s="147"/>
    </row>
    <row r="140" spans="1:10" s="146" customFormat="1" ht="18.75">
      <c r="A140" s="160"/>
      <c r="I140" s="147"/>
      <c r="J140" s="147"/>
    </row>
    <row r="141" spans="1:10" s="146" customFormat="1" ht="18.75">
      <c r="A141" s="160"/>
      <c r="I141" s="147"/>
      <c r="J141" s="147"/>
    </row>
    <row r="142" spans="1:10" s="146" customFormat="1" ht="18.75">
      <c r="A142" s="160"/>
      <c r="I142" s="147"/>
      <c r="J142" s="147"/>
    </row>
    <row r="143" spans="1:10" s="146" customFormat="1" ht="18.75">
      <c r="A143" s="160"/>
      <c r="I143" s="147"/>
      <c r="J143" s="147"/>
    </row>
    <row r="144" spans="1:10" s="146" customFormat="1" ht="18.75">
      <c r="A144" s="160"/>
      <c r="I144" s="147"/>
      <c r="J144" s="147"/>
    </row>
    <row r="145" spans="1:10" s="146" customFormat="1" ht="18.75">
      <c r="A145" s="160"/>
      <c r="I145" s="147"/>
      <c r="J145" s="147"/>
    </row>
    <row r="146" spans="1:10" s="146" customFormat="1" ht="18.75">
      <c r="A146" s="160"/>
      <c r="I146" s="147"/>
      <c r="J146" s="147"/>
    </row>
    <row r="147" spans="1:10" s="146" customFormat="1" ht="18.75">
      <c r="A147" s="160"/>
      <c r="I147" s="147"/>
      <c r="J147" s="147"/>
    </row>
    <row r="148" spans="1:10" s="146" customFormat="1" ht="18.75">
      <c r="A148" s="160"/>
      <c r="I148" s="147"/>
      <c r="J148" s="147"/>
    </row>
    <row r="149" spans="1:10" s="146" customFormat="1" ht="18.75">
      <c r="A149" s="160"/>
      <c r="I149" s="147"/>
      <c r="J149" s="147"/>
    </row>
    <row r="150" spans="1:10" s="146" customFormat="1" ht="18.75">
      <c r="A150" s="160"/>
      <c r="I150" s="147"/>
      <c r="J150" s="147"/>
    </row>
    <row r="151" spans="1:10" s="146" customFormat="1" ht="18.75">
      <c r="A151" s="160"/>
      <c r="I151" s="147"/>
      <c r="J151" s="147"/>
    </row>
    <row r="152" spans="1:10" s="146" customFormat="1" ht="18.75">
      <c r="A152" s="160"/>
      <c r="I152" s="147"/>
      <c r="J152" s="147"/>
    </row>
    <row r="153" spans="1:10" s="146" customFormat="1" ht="18.75">
      <c r="A153" s="160"/>
      <c r="I153" s="147"/>
      <c r="J153" s="147"/>
    </row>
    <row r="154" spans="1:10" s="146" customFormat="1" ht="18.75">
      <c r="A154" s="160"/>
      <c r="I154" s="147"/>
      <c r="J154" s="147"/>
    </row>
    <row r="155" spans="1:10" s="146" customFormat="1" ht="18.75">
      <c r="A155" s="160"/>
      <c r="I155" s="147"/>
      <c r="J155" s="147"/>
    </row>
    <row r="156" spans="1:10" s="146" customFormat="1" ht="18.75">
      <c r="A156" s="160"/>
      <c r="I156" s="147"/>
      <c r="J156" s="147"/>
    </row>
    <row r="157" spans="1:10" s="146" customFormat="1" ht="18.75">
      <c r="A157" s="160"/>
      <c r="I157" s="147"/>
      <c r="J157" s="147"/>
    </row>
    <row r="158" spans="1:10" s="146" customFormat="1" ht="18.75">
      <c r="A158" s="160"/>
      <c r="I158" s="147"/>
      <c r="J158" s="147"/>
    </row>
    <row r="159" spans="1:10" s="146" customFormat="1" ht="18.75">
      <c r="A159" s="160"/>
      <c r="I159" s="147"/>
      <c r="J159" s="147"/>
    </row>
    <row r="160" spans="1:10" s="146" customFormat="1" ht="18.75">
      <c r="A160" s="160"/>
      <c r="I160" s="147"/>
      <c r="J160" s="147"/>
    </row>
    <row r="161" spans="1:10" s="146" customFormat="1" ht="18.75">
      <c r="A161" s="160"/>
      <c r="I161" s="147"/>
      <c r="J161" s="147"/>
    </row>
    <row r="162" spans="1:10" s="146" customFormat="1" ht="18.75">
      <c r="A162" s="160"/>
      <c r="I162" s="147"/>
      <c r="J162" s="147"/>
    </row>
    <row r="163" spans="1:10" s="146" customFormat="1" ht="18.75">
      <c r="A163" s="160"/>
      <c r="I163" s="147"/>
      <c r="J163" s="147"/>
    </row>
    <row r="164" spans="1:10" s="146" customFormat="1" ht="18.75">
      <c r="A164" s="160"/>
      <c r="I164" s="147"/>
      <c r="J164" s="147"/>
    </row>
    <row r="165" spans="1:10" s="146" customFormat="1" ht="18.75">
      <c r="A165" s="160"/>
      <c r="I165" s="147"/>
      <c r="J165" s="147"/>
    </row>
    <row r="166" spans="1:10" s="146" customFormat="1" ht="18.75">
      <c r="A166" s="160"/>
      <c r="I166" s="147"/>
      <c r="J166" s="147"/>
    </row>
    <row r="167" spans="1:10" s="146" customFormat="1" ht="18.75">
      <c r="A167" s="160"/>
      <c r="I167" s="147"/>
      <c r="J167" s="147"/>
    </row>
    <row r="168" spans="1:10" s="146" customFormat="1" ht="18.75">
      <c r="A168" s="160"/>
      <c r="I168" s="147"/>
      <c r="J168" s="147"/>
    </row>
    <row r="169" spans="1:10" s="146" customFormat="1" ht="18.75">
      <c r="A169" s="160"/>
      <c r="I169" s="147"/>
      <c r="J169" s="147"/>
    </row>
    <row r="170" spans="1:10" s="146" customFormat="1" ht="18.75">
      <c r="A170" s="160"/>
      <c r="I170" s="147"/>
      <c r="J170" s="147"/>
    </row>
    <row r="171" spans="1:10" s="146" customFormat="1" ht="18.75">
      <c r="A171" s="160"/>
      <c r="I171" s="147"/>
      <c r="J171" s="147"/>
    </row>
    <row r="172" spans="1:10" s="146" customFormat="1" ht="18.75">
      <c r="A172" s="160"/>
      <c r="I172" s="147"/>
      <c r="J172" s="147"/>
    </row>
    <row r="173" spans="1:10" s="146" customFormat="1" ht="18.75">
      <c r="A173" s="160"/>
      <c r="I173" s="147"/>
      <c r="J173" s="147"/>
    </row>
    <row r="174" spans="1:10" s="146" customFormat="1" ht="18.75">
      <c r="A174" s="160"/>
      <c r="I174" s="147"/>
      <c r="J174" s="147"/>
    </row>
    <row r="175" spans="1:10" s="146" customFormat="1" ht="18.75">
      <c r="A175" s="160"/>
      <c r="I175" s="147"/>
      <c r="J175" s="147"/>
    </row>
    <row r="176" spans="1:10" s="146" customFormat="1" ht="18.75">
      <c r="A176" s="160"/>
      <c r="I176" s="147"/>
      <c r="J176" s="147"/>
    </row>
    <row r="177" spans="1:10" s="146" customFormat="1" ht="18.75">
      <c r="A177" s="160"/>
      <c r="I177" s="147"/>
      <c r="J177" s="147"/>
    </row>
    <row r="178" spans="1:10" s="146" customFormat="1" ht="18.75">
      <c r="A178" s="160"/>
      <c r="I178" s="147"/>
      <c r="J178" s="147"/>
    </row>
    <row r="179" spans="1:10" s="146" customFormat="1" ht="18.75">
      <c r="A179" s="160"/>
      <c r="I179" s="147"/>
      <c r="J179" s="147"/>
    </row>
    <row r="180" spans="1:10" s="146" customFormat="1" ht="18.75">
      <c r="A180" s="160"/>
      <c r="I180" s="147"/>
      <c r="J180" s="147"/>
    </row>
    <row r="181" spans="1:10" s="146" customFormat="1" ht="18.75">
      <c r="A181" s="160"/>
      <c r="I181" s="147"/>
      <c r="J181" s="147"/>
    </row>
    <row r="182" spans="1:10" s="146" customFormat="1" ht="18.75">
      <c r="A182" s="160"/>
      <c r="I182" s="147"/>
      <c r="J182" s="147"/>
    </row>
    <row r="183" spans="1:10" s="146" customFormat="1" ht="18.75">
      <c r="A183" s="160"/>
      <c r="I183" s="147"/>
      <c r="J183" s="147"/>
    </row>
    <row r="184" spans="1:10" s="146" customFormat="1" ht="18.75">
      <c r="A184" s="160"/>
      <c r="I184" s="147"/>
      <c r="J184" s="147"/>
    </row>
    <row r="185" spans="1:10" s="146" customFormat="1" ht="18.75">
      <c r="A185" s="160"/>
      <c r="I185" s="147"/>
      <c r="J185" s="147"/>
    </row>
    <row r="186" spans="1:10" s="146" customFormat="1" ht="18.75">
      <c r="A186" s="160"/>
      <c r="I186" s="147"/>
      <c r="J186" s="147"/>
    </row>
    <row r="187" spans="1:10" s="146" customFormat="1" ht="18.75">
      <c r="A187" s="160"/>
      <c r="I187" s="147"/>
      <c r="J187" s="147"/>
    </row>
    <row r="188" spans="1:10" s="146" customFormat="1" ht="18.75">
      <c r="A188" s="160"/>
      <c r="I188" s="147"/>
      <c r="J188" s="147"/>
    </row>
    <row r="189" spans="1:10" s="146" customFormat="1" ht="18.75">
      <c r="A189" s="160"/>
      <c r="I189" s="147"/>
      <c r="J189" s="147"/>
    </row>
    <row r="190" spans="1:10" s="146" customFormat="1" ht="18.75">
      <c r="A190" s="160"/>
      <c r="I190" s="147"/>
      <c r="J190" s="147"/>
    </row>
    <row r="191" spans="1:10" s="146" customFormat="1" ht="18.75">
      <c r="A191" s="160"/>
      <c r="I191" s="147"/>
      <c r="J191" s="147"/>
    </row>
    <row r="192" spans="1:10" s="146" customFormat="1" ht="18.75">
      <c r="A192" s="160"/>
      <c r="I192" s="147"/>
      <c r="J192" s="147"/>
    </row>
    <row r="193" spans="1:10" s="146" customFormat="1" ht="18.75">
      <c r="A193" s="160"/>
      <c r="I193" s="147"/>
      <c r="J193" s="147"/>
    </row>
    <row r="194" spans="1:10" s="146" customFormat="1" ht="18.75">
      <c r="A194" s="160"/>
      <c r="I194" s="147"/>
      <c r="J194" s="147"/>
    </row>
    <row r="195" spans="1:10" s="146" customFormat="1" ht="18.75">
      <c r="A195" s="160"/>
      <c r="I195" s="147"/>
      <c r="J195" s="147"/>
    </row>
    <row r="196" spans="1:10" s="146" customFormat="1" ht="18.75">
      <c r="A196" s="160"/>
      <c r="I196" s="147"/>
      <c r="J196" s="147"/>
    </row>
    <row r="197" spans="1:10" s="146" customFormat="1" ht="18.75">
      <c r="A197" s="160"/>
      <c r="I197" s="147"/>
      <c r="J197" s="147"/>
    </row>
    <row r="198" spans="1:10" s="146" customFormat="1" ht="18.75">
      <c r="A198" s="160"/>
      <c r="I198" s="147"/>
      <c r="J198" s="147"/>
    </row>
  </sheetData>
  <sheetProtection/>
  <mergeCells count="12">
    <mergeCell ref="C47:D47"/>
    <mergeCell ref="F47:H47"/>
    <mergeCell ref="C48:D48"/>
    <mergeCell ref="F48:H48"/>
    <mergeCell ref="A3:A4"/>
    <mergeCell ref="B3:B4"/>
    <mergeCell ref="A1:H1"/>
    <mergeCell ref="A2:H2"/>
    <mergeCell ref="C3:D3"/>
    <mergeCell ref="E3:H3"/>
    <mergeCell ref="A6:H6"/>
    <mergeCell ref="A19:H19"/>
  </mergeCells>
  <printOptions/>
  <pageMargins left="0.8263888888888888" right="0.275" top="0.786805555555556" bottom="0.786805555555556" header="0.19652777777777802" footer="0.118055555555556"/>
  <pageSetup fitToHeight="2" horizontalDpi="600" verticalDpi="600" orientation="landscape" paperSize="9" scale="60" r:id="rId1"/>
  <headerFooter alignWithMargins="0">
    <oddHeader>&amp;C
7&amp;R
&amp;"Times New Roman,обычный"&amp;14Продовження додатка 3
Таблиця 2</oddHeader>
  </headerFooter>
  <rowBreaks count="1" manualBreakCount="1">
    <brk id="29" max="7" man="1"/>
  </rowBreaks>
  <ignoredErrors>
    <ignoredError sqref="G25 G8:G17 H7:H18 H20:H43 G23" evalError="1"/>
  </ignoredErrors>
</worksheet>
</file>

<file path=xl/worksheets/sheet4.xml><?xml version="1.0" encoding="utf-8"?>
<worksheet xmlns="http://schemas.openxmlformats.org/spreadsheetml/2006/main" xmlns:r="http://schemas.openxmlformats.org/officeDocument/2006/relationships">
  <sheetPr>
    <tabColor indexed="43"/>
  </sheetPr>
  <dimension ref="A1:H85"/>
  <sheetViews>
    <sheetView view="pageBreakPreview" zoomScale="80" zoomScaleNormal="75" zoomScaleSheetLayoutView="80" zoomScalePageLayoutView="0" workbookViewId="0" topLeftCell="A1">
      <pane xSplit="1" ySplit="5" topLeftCell="B69" activePane="bottomRight" state="frozen"/>
      <selection pane="topLeft" activeCell="A1" sqref="A1"/>
      <selection pane="topRight" activeCell="A1" sqref="A1"/>
      <selection pane="bottomLeft" activeCell="A1" sqref="A1"/>
      <selection pane="bottomRight" activeCell="D48" sqref="D48"/>
    </sheetView>
  </sheetViews>
  <sheetFormatPr defaultColWidth="9.00390625" defaultRowHeight="12.75"/>
  <cols>
    <col min="1" max="1" width="116.25390625" style="6" customWidth="1"/>
    <col min="2" max="2" width="12.875" style="6" customWidth="1"/>
    <col min="3" max="7" width="20.375" style="6" customWidth="1"/>
    <col min="8" max="8" width="18.375" style="6" customWidth="1"/>
    <col min="9" max="9" width="19.25390625" style="6" bestFit="1" customWidth="1"/>
    <col min="10" max="10" width="9.125" style="6" bestFit="1" customWidth="1"/>
    <col min="11" max="16384" width="9.125" style="6" customWidth="1"/>
  </cols>
  <sheetData>
    <row r="1" spans="1:8" ht="18.75">
      <c r="A1" s="324" t="s">
        <v>522</v>
      </c>
      <c r="B1" s="324"/>
      <c r="C1" s="324"/>
      <c r="D1" s="324"/>
      <c r="E1" s="324"/>
      <c r="F1" s="324"/>
      <c r="G1" s="324"/>
      <c r="H1" s="324"/>
    </row>
    <row r="2" spans="1:8" ht="18.75">
      <c r="A2" s="71"/>
      <c r="B2" s="71"/>
      <c r="C2" s="71"/>
      <c r="D2" s="71"/>
      <c r="E2" s="71"/>
      <c r="F2" s="71"/>
      <c r="G2" s="71"/>
      <c r="H2" s="71"/>
    </row>
    <row r="3" spans="1:8" ht="48" customHeight="1">
      <c r="A3" s="326" t="s">
        <v>38</v>
      </c>
      <c r="B3" s="364" t="s">
        <v>280</v>
      </c>
      <c r="C3" s="326" t="s">
        <v>281</v>
      </c>
      <c r="D3" s="326"/>
      <c r="E3" s="327" t="s">
        <v>41</v>
      </c>
      <c r="F3" s="327"/>
      <c r="G3" s="327"/>
      <c r="H3" s="327"/>
    </row>
    <row r="4" spans="1:8" ht="38.25" customHeight="1">
      <c r="A4" s="326"/>
      <c r="B4" s="364"/>
      <c r="C4" s="13" t="s">
        <v>42</v>
      </c>
      <c r="D4" s="13" t="s">
        <v>43</v>
      </c>
      <c r="E4" s="13" t="s">
        <v>44</v>
      </c>
      <c r="F4" s="13" t="s">
        <v>45</v>
      </c>
      <c r="G4" s="104" t="s">
        <v>46</v>
      </c>
      <c r="H4" s="104" t="s">
        <v>47</v>
      </c>
    </row>
    <row r="5" spans="1:8" ht="18.75">
      <c r="A5" s="104">
        <v>1</v>
      </c>
      <c r="B5" s="9">
        <v>2</v>
      </c>
      <c r="C5" s="104">
        <v>3</v>
      </c>
      <c r="D5" s="9">
        <v>4</v>
      </c>
      <c r="E5" s="104">
        <v>5</v>
      </c>
      <c r="F5" s="9">
        <v>6</v>
      </c>
      <c r="G5" s="104">
        <v>7</v>
      </c>
      <c r="H5" s="9">
        <v>8</v>
      </c>
    </row>
    <row r="6" spans="1:8" ht="18.75">
      <c r="A6" s="113" t="s">
        <v>282</v>
      </c>
      <c r="B6" s="114"/>
      <c r="C6" s="114"/>
      <c r="D6" s="114"/>
      <c r="E6" s="114"/>
      <c r="F6" s="114"/>
      <c r="G6" s="114"/>
      <c r="H6" s="115"/>
    </row>
    <row r="7" spans="1:8" s="111" customFormat="1" ht="24.75" customHeight="1">
      <c r="A7" s="116" t="s">
        <v>283</v>
      </c>
      <c r="B7" s="117">
        <v>3000</v>
      </c>
      <c r="C7" s="118">
        <f>SUM(C8:C11,C19)</f>
        <v>12389</v>
      </c>
      <c r="D7" s="118">
        <f>SUM(D8:D11,D19)</f>
        <v>14351.400000000001</v>
      </c>
      <c r="E7" s="118">
        <f>SUM(E8:E11,E19)</f>
        <v>6020</v>
      </c>
      <c r="F7" s="118">
        <f>SUM(F8:F11,F19)</f>
        <v>7607.1</v>
      </c>
      <c r="G7" s="119">
        <f>F7-E7</f>
        <v>1587.1000000000004</v>
      </c>
      <c r="H7" s="120">
        <f>(F7/E7)*100</f>
        <v>126.3637873754153</v>
      </c>
    </row>
    <row r="8" spans="1:8" ht="28.5" customHeight="1">
      <c r="A8" s="85" t="s">
        <v>284</v>
      </c>
      <c r="B8" s="22">
        <v>3010</v>
      </c>
      <c r="C8" s="121">
        <v>10930.9</v>
      </c>
      <c r="D8" s="121">
        <f>5830.9+6153.3</f>
        <v>11984.2</v>
      </c>
      <c r="E8" s="121">
        <v>5890</v>
      </c>
      <c r="F8" s="121">
        <f>6150+3.3</f>
        <v>6153.3</v>
      </c>
      <c r="G8" s="122">
        <f>F8-E8</f>
        <v>263.3000000000002</v>
      </c>
      <c r="H8" s="123">
        <f>(F8/E8)*100</f>
        <v>104.47028862478777</v>
      </c>
    </row>
    <row r="9" spans="1:8" ht="19.5" customHeight="1">
      <c r="A9" s="85" t="s">
        <v>285</v>
      </c>
      <c r="B9" s="22">
        <v>3020</v>
      </c>
      <c r="C9" s="121"/>
      <c r="D9" s="121"/>
      <c r="E9" s="121"/>
      <c r="F9" s="121"/>
      <c r="G9" s="122">
        <f>F9-E9</f>
        <v>0</v>
      </c>
      <c r="H9" s="123" t="e">
        <f>(F9/E9)*100</f>
        <v>#DIV/0!</v>
      </c>
    </row>
    <row r="10" spans="1:8" ht="19.5" customHeight="1">
      <c r="A10" s="85" t="s">
        <v>286</v>
      </c>
      <c r="B10" s="22">
        <v>3021</v>
      </c>
      <c r="C10" s="121"/>
      <c r="D10" s="121"/>
      <c r="E10" s="121"/>
      <c r="F10" s="121"/>
      <c r="G10" s="122">
        <f>F10-E10</f>
        <v>0</v>
      </c>
      <c r="H10" s="123" t="e">
        <f>(F10/E10)*100</f>
        <v>#DIV/0!</v>
      </c>
    </row>
    <row r="11" spans="1:8" ht="27.75" customHeight="1">
      <c r="A11" s="85" t="s">
        <v>287</v>
      </c>
      <c r="B11" s="22">
        <v>3030</v>
      </c>
      <c r="C11" s="121">
        <v>1004.2</v>
      </c>
      <c r="D11" s="121">
        <f>SUM(D12:D13)</f>
        <v>2009.6</v>
      </c>
      <c r="E11" s="121">
        <f>SUM(E12:E13)</f>
        <v>50</v>
      </c>
      <c r="F11" s="121">
        <f>SUM(F12:F13)</f>
        <v>1361.5</v>
      </c>
      <c r="G11" s="122">
        <f>F11-E11</f>
        <v>1311.5</v>
      </c>
      <c r="H11" s="123">
        <f>(F11/E11)*100</f>
        <v>2723</v>
      </c>
    </row>
    <row r="12" spans="1:8" ht="35.25" customHeight="1">
      <c r="A12" s="310" t="s">
        <v>481</v>
      </c>
      <c r="B12" s="22" t="s">
        <v>482</v>
      </c>
      <c r="C12" s="121">
        <v>0</v>
      </c>
      <c r="D12" s="121">
        <f>25.3+33.2</f>
        <v>58.5</v>
      </c>
      <c r="E12" s="121">
        <v>50</v>
      </c>
      <c r="F12" s="121">
        <v>33.2</v>
      </c>
      <c r="G12" s="122"/>
      <c r="H12" s="123"/>
    </row>
    <row r="13" spans="1:8" ht="31.5" customHeight="1">
      <c r="A13" s="310" t="s">
        <v>483</v>
      </c>
      <c r="B13" s="22" t="s">
        <v>484</v>
      </c>
      <c r="C13" s="121">
        <v>0</v>
      </c>
      <c r="D13" s="121">
        <f>622.8+1328.3</f>
        <v>1951.1</v>
      </c>
      <c r="E13" s="121"/>
      <c r="F13" s="121">
        <v>1328.3</v>
      </c>
      <c r="G13" s="122"/>
      <c r="H13" s="123"/>
    </row>
    <row r="14" spans="1:8" ht="19.5" customHeight="1">
      <c r="A14" s="85" t="s">
        <v>288</v>
      </c>
      <c r="B14" s="22">
        <v>3040</v>
      </c>
      <c r="C14" s="121"/>
      <c r="D14" s="121"/>
      <c r="E14" s="121"/>
      <c r="F14" s="121"/>
      <c r="G14" s="122">
        <f aca="true" t="shared" si="0" ref="G14:G40">F14-E14</f>
        <v>0</v>
      </c>
      <c r="H14" s="123" t="e">
        <f aca="true" t="shared" si="1" ref="H14:H40">(F14/E14)*100</f>
        <v>#DIV/0!</v>
      </c>
    </row>
    <row r="15" spans="1:8" ht="19.5" customHeight="1">
      <c r="A15" s="85" t="s">
        <v>289</v>
      </c>
      <c r="B15" s="22">
        <v>3050</v>
      </c>
      <c r="C15" s="124">
        <f>SUM(C16:C18)</f>
        <v>0</v>
      </c>
      <c r="D15" s="124">
        <f>SUM(D16:D18)</f>
        <v>0</v>
      </c>
      <c r="E15" s="124">
        <f>SUM(E16:E18)</f>
        <v>0</v>
      </c>
      <c r="F15" s="124">
        <f>SUM(F16:F18)</f>
        <v>0</v>
      </c>
      <c r="G15" s="125">
        <f t="shared" si="0"/>
        <v>0</v>
      </c>
      <c r="H15" s="123" t="e">
        <f t="shared" si="1"/>
        <v>#DIV/0!</v>
      </c>
    </row>
    <row r="16" spans="1:8" ht="19.5" customHeight="1">
      <c r="A16" s="85" t="s">
        <v>290</v>
      </c>
      <c r="B16" s="22">
        <v>3051</v>
      </c>
      <c r="C16" s="121"/>
      <c r="D16" s="121"/>
      <c r="E16" s="121"/>
      <c r="F16" s="121"/>
      <c r="G16" s="125">
        <f t="shared" si="0"/>
        <v>0</v>
      </c>
      <c r="H16" s="123" t="e">
        <f t="shared" si="1"/>
        <v>#DIV/0!</v>
      </c>
    </row>
    <row r="17" spans="1:8" ht="19.5" customHeight="1">
      <c r="A17" s="85" t="s">
        <v>291</v>
      </c>
      <c r="B17" s="22">
        <v>3052</v>
      </c>
      <c r="C17" s="121"/>
      <c r="D17" s="121"/>
      <c r="E17" s="121"/>
      <c r="F17" s="121"/>
      <c r="G17" s="125">
        <f t="shared" si="0"/>
        <v>0</v>
      </c>
      <c r="H17" s="123" t="e">
        <f t="shared" si="1"/>
        <v>#DIV/0!</v>
      </c>
    </row>
    <row r="18" spans="1:8" ht="19.5" customHeight="1">
      <c r="A18" s="85" t="s">
        <v>292</v>
      </c>
      <c r="B18" s="22">
        <v>3053</v>
      </c>
      <c r="C18" s="121"/>
      <c r="D18" s="121"/>
      <c r="E18" s="121"/>
      <c r="F18" s="121"/>
      <c r="G18" s="125">
        <f t="shared" si="0"/>
        <v>0</v>
      </c>
      <c r="H18" s="123" t="e">
        <f t="shared" si="1"/>
        <v>#DIV/0!</v>
      </c>
    </row>
    <row r="19" spans="1:8" ht="19.5" customHeight="1">
      <c r="A19" s="85" t="s">
        <v>509</v>
      </c>
      <c r="B19" s="22">
        <v>3060</v>
      </c>
      <c r="C19" s="121">
        <v>453.9</v>
      </c>
      <c r="D19" s="121">
        <f>265.3+92.3</f>
        <v>357.6</v>
      </c>
      <c r="E19" s="121">
        <v>80</v>
      </c>
      <c r="F19" s="121">
        <f>95.6-3.3</f>
        <v>92.3</v>
      </c>
      <c r="G19" s="126">
        <f t="shared" si="0"/>
        <v>12.299999999999997</v>
      </c>
      <c r="H19" s="123">
        <f t="shared" si="1"/>
        <v>115.375</v>
      </c>
    </row>
    <row r="20" spans="1:8" ht="19.5" customHeight="1">
      <c r="A20" s="86" t="s">
        <v>293</v>
      </c>
      <c r="B20" s="75">
        <v>3100</v>
      </c>
      <c r="C20" s="127">
        <f>SUM(C21:C23,C27,C39,C40)</f>
        <v>-10880.099999999999</v>
      </c>
      <c r="D20" s="127">
        <f>SUM(D21:D23,D27,D39,D40)</f>
        <v>-15116.199999999999</v>
      </c>
      <c r="E20" s="127">
        <f>SUM(E21:E23,E27,E39,E40)</f>
        <v>-6020</v>
      </c>
      <c r="F20" s="127">
        <f>SUM(F21:F23,F27,F39,F40)</f>
        <v>-9072.9</v>
      </c>
      <c r="G20" s="128">
        <f t="shared" si="0"/>
        <v>-3052.8999999999996</v>
      </c>
      <c r="H20" s="120">
        <f t="shared" si="1"/>
        <v>150.7126245847176</v>
      </c>
    </row>
    <row r="21" spans="1:8" ht="19.5" customHeight="1">
      <c r="A21" s="85" t="s">
        <v>294</v>
      </c>
      <c r="B21" s="22">
        <v>3110</v>
      </c>
      <c r="C21" s="122">
        <v>-1640.5</v>
      </c>
      <c r="D21" s="122">
        <f>-160.4-298.6</f>
        <v>-459</v>
      </c>
      <c r="E21" s="122">
        <v>-100</v>
      </c>
      <c r="F21" s="122">
        <f>-298.6</f>
        <v>-298.6</v>
      </c>
      <c r="G21" s="126">
        <f t="shared" si="0"/>
        <v>-198.60000000000002</v>
      </c>
      <c r="H21" s="123">
        <f t="shared" si="1"/>
        <v>298.6</v>
      </c>
    </row>
    <row r="22" spans="1:8" ht="19.5" customHeight="1">
      <c r="A22" s="85" t="s">
        <v>295</v>
      </c>
      <c r="B22" s="22">
        <v>3120</v>
      </c>
      <c r="C22" s="122">
        <v>-5837.4</v>
      </c>
      <c r="D22" s="122">
        <f>-3143.9-4506.4</f>
        <v>-7650.299999999999</v>
      </c>
      <c r="E22" s="122">
        <v>-3630</v>
      </c>
      <c r="F22" s="122">
        <f>-4506.4</f>
        <v>-4506.4</v>
      </c>
      <c r="G22" s="126">
        <f t="shared" si="0"/>
        <v>-876.3999999999996</v>
      </c>
      <c r="H22" s="123">
        <f t="shared" si="1"/>
        <v>124.14325068870522</v>
      </c>
    </row>
    <row r="23" spans="1:8" ht="19.5" customHeight="1">
      <c r="A23" s="85" t="s">
        <v>296</v>
      </c>
      <c r="B23" s="22">
        <v>3130</v>
      </c>
      <c r="C23" s="129">
        <f>SUM(C24:C26)</f>
        <v>0</v>
      </c>
      <c r="D23" s="129">
        <f>SUM(D24:D26)</f>
        <v>0</v>
      </c>
      <c r="E23" s="129">
        <f>SUM(E24:E26)</f>
        <v>0</v>
      </c>
      <c r="F23" s="129">
        <f>SUM(F24:F26)</f>
        <v>0</v>
      </c>
      <c r="G23" s="126">
        <f t="shared" si="0"/>
        <v>0</v>
      </c>
      <c r="H23" s="123" t="e">
        <f t="shared" si="1"/>
        <v>#DIV/0!</v>
      </c>
    </row>
    <row r="24" spans="1:8" ht="19.5" customHeight="1">
      <c r="A24" s="85" t="s">
        <v>290</v>
      </c>
      <c r="B24" s="22">
        <v>3131</v>
      </c>
      <c r="C24" s="122" t="s">
        <v>204</v>
      </c>
      <c r="D24" s="122" t="s">
        <v>204</v>
      </c>
      <c r="E24" s="122" t="s">
        <v>204</v>
      </c>
      <c r="F24" s="122" t="s">
        <v>204</v>
      </c>
      <c r="G24" s="125" t="e">
        <f t="shared" si="0"/>
        <v>#VALUE!</v>
      </c>
      <c r="H24" s="123" t="e">
        <f t="shared" si="1"/>
        <v>#VALUE!</v>
      </c>
    </row>
    <row r="25" spans="1:8" ht="19.5" customHeight="1">
      <c r="A25" s="85" t="s">
        <v>291</v>
      </c>
      <c r="B25" s="22">
        <v>3132</v>
      </c>
      <c r="C25" s="122" t="s">
        <v>204</v>
      </c>
      <c r="D25" s="122" t="s">
        <v>204</v>
      </c>
      <c r="E25" s="122" t="s">
        <v>204</v>
      </c>
      <c r="F25" s="122" t="s">
        <v>204</v>
      </c>
      <c r="G25" s="125" t="e">
        <f t="shared" si="0"/>
        <v>#VALUE!</v>
      </c>
      <c r="H25" s="123" t="e">
        <f t="shared" si="1"/>
        <v>#VALUE!</v>
      </c>
    </row>
    <row r="26" spans="1:8" ht="19.5" customHeight="1">
      <c r="A26" s="85" t="s">
        <v>292</v>
      </c>
      <c r="B26" s="22">
        <v>3133</v>
      </c>
      <c r="C26" s="122" t="s">
        <v>204</v>
      </c>
      <c r="D26" s="122" t="s">
        <v>204</v>
      </c>
      <c r="E26" s="122" t="s">
        <v>204</v>
      </c>
      <c r="F26" s="122" t="s">
        <v>204</v>
      </c>
      <c r="G26" s="125" t="e">
        <f t="shared" si="0"/>
        <v>#VALUE!</v>
      </c>
      <c r="H26" s="123" t="e">
        <f t="shared" si="1"/>
        <v>#VALUE!</v>
      </c>
    </row>
    <row r="27" spans="1:8" ht="19.5" customHeight="1">
      <c r="A27" s="85" t="s">
        <v>297</v>
      </c>
      <c r="B27" s="22">
        <v>3140</v>
      </c>
      <c r="C27" s="129">
        <f>SUM(C28:C33,C36)</f>
        <v>-2360.7</v>
      </c>
      <c r="D27" s="129">
        <f>SUM(D28:D33,D36)</f>
        <v>-3613.9</v>
      </c>
      <c r="E27" s="129">
        <f>SUM(E28:E33,E36)</f>
        <v>-1950</v>
      </c>
      <c r="F27" s="129">
        <f>SUM(F28:F33,F36)</f>
        <v>-2043.3</v>
      </c>
      <c r="G27" s="122">
        <f t="shared" si="0"/>
        <v>-93.29999999999995</v>
      </c>
      <c r="H27" s="123">
        <f t="shared" si="1"/>
        <v>104.78461538461539</v>
      </c>
    </row>
    <row r="28" spans="1:8" ht="19.5" customHeight="1">
      <c r="A28" s="85" t="s">
        <v>108</v>
      </c>
      <c r="B28" s="22">
        <v>3141</v>
      </c>
      <c r="C28" s="122" t="s">
        <v>204</v>
      </c>
      <c r="D28" s="122" t="s">
        <v>204</v>
      </c>
      <c r="E28" s="122" t="s">
        <v>204</v>
      </c>
      <c r="F28" s="122" t="s">
        <v>204</v>
      </c>
      <c r="G28" s="125" t="e">
        <f t="shared" si="0"/>
        <v>#VALUE!</v>
      </c>
      <c r="H28" s="123" t="e">
        <f t="shared" si="1"/>
        <v>#VALUE!</v>
      </c>
    </row>
    <row r="29" spans="1:8" ht="19.5" customHeight="1">
      <c r="A29" s="85" t="s">
        <v>298</v>
      </c>
      <c r="B29" s="22">
        <v>3142</v>
      </c>
      <c r="C29" s="122" t="s">
        <v>204</v>
      </c>
      <c r="D29" s="122" t="s">
        <v>204</v>
      </c>
      <c r="E29" s="122" t="s">
        <v>204</v>
      </c>
      <c r="F29" s="122" t="s">
        <v>204</v>
      </c>
      <c r="G29" s="125" t="e">
        <f t="shared" si="0"/>
        <v>#VALUE!</v>
      </c>
      <c r="H29" s="123" t="e">
        <f t="shared" si="1"/>
        <v>#VALUE!</v>
      </c>
    </row>
    <row r="30" spans="1:8" ht="19.5" customHeight="1">
      <c r="A30" s="85" t="s">
        <v>111</v>
      </c>
      <c r="B30" s="22">
        <v>3143</v>
      </c>
      <c r="C30" s="122" t="s">
        <v>204</v>
      </c>
      <c r="D30" s="122" t="s">
        <v>204</v>
      </c>
      <c r="E30" s="122" t="s">
        <v>204</v>
      </c>
      <c r="F30" s="122" t="s">
        <v>204</v>
      </c>
      <c r="G30" s="125" t="e">
        <f t="shared" si="0"/>
        <v>#VALUE!</v>
      </c>
      <c r="H30" s="123" t="e">
        <f t="shared" si="1"/>
        <v>#VALUE!</v>
      </c>
    </row>
    <row r="31" spans="1:8" ht="19.5" customHeight="1">
      <c r="A31" s="85" t="s">
        <v>299</v>
      </c>
      <c r="B31" s="22">
        <v>3144</v>
      </c>
      <c r="C31" s="122" t="s">
        <v>204</v>
      </c>
      <c r="D31" s="122" t="s">
        <v>204</v>
      </c>
      <c r="E31" s="122" t="s">
        <v>204</v>
      </c>
      <c r="F31" s="122" t="s">
        <v>204</v>
      </c>
      <c r="G31" s="125" t="e">
        <f t="shared" si="0"/>
        <v>#VALUE!</v>
      </c>
      <c r="H31" s="123" t="e">
        <f t="shared" si="1"/>
        <v>#VALUE!</v>
      </c>
    </row>
    <row r="32" spans="1:8" ht="19.5" customHeight="1">
      <c r="A32" s="85" t="s">
        <v>268</v>
      </c>
      <c r="B32" s="22">
        <v>3145</v>
      </c>
      <c r="C32" s="122">
        <v>-1045.2</v>
      </c>
      <c r="D32" s="122">
        <f>-716.9-913</f>
        <v>-1629.9</v>
      </c>
      <c r="E32" s="122">
        <v>-880</v>
      </c>
      <c r="F32" s="122">
        <v>-913</v>
      </c>
      <c r="G32" s="122">
        <f t="shared" si="0"/>
        <v>-33</v>
      </c>
      <c r="H32" s="123">
        <f t="shared" si="1"/>
        <v>103.75000000000001</v>
      </c>
    </row>
    <row r="33" spans="1:8" ht="19.5" customHeight="1">
      <c r="A33" s="85" t="s">
        <v>300</v>
      </c>
      <c r="B33" s="22">
        <v>3146</v>
      </c>
      <c r="C33" s="129">
        <f>SUM(C34,C35)</f>
        <v>0</v>
      </c>
      <c r="D33" s="129">
        <f>SUM(D34,D35)</f>
        <v>0</v>
      </c>
      <c r="E33" s="129">
        <f>SUM(E34,E35)</f>
        <v>0</v>
      </c>
      <c r="F33" s="129">
        <f>SUM(F34,F35)</f>
        <v>0</v>
      </c>
      <c r="G33" s="125">
        <f t="shared" si="0"/>
        <v>0</v>
      </c>
      <c r="H33" s="123" t="e">
        <f t="shared" si="1"/>
        <v>#DIV/0!</v>
      </c>
    </row>
    <row r="34" spans="1:8" ht="19.5" customHeight="1">
      <c r="A34" s="85" t="s">
        <v>301</v>
      </c>
      <c r="B34" s="22" t="s">
        <v>302</v>
      </c>
      <c r="C34" s="122" t="s">
        <v>204</v>
      </c>
      <c r="D34" s="122" t="s">
        <v>204</v>
      </c>
      <c r="E34" s="122" t="s">
        <v>204</v>
      </c>
      <c r="F34" s="122" t="s">
        <v>204</v>
      </c>
      <c r="G34" s="125" t="e">
        <f t="shared" si="0"/>
        <v>#VALUE!</v>
      </c>
      <c r="H34" s="123" t="e">
        <f t="shared" si="1"/>
        <v>#VALUE!</v>
      </c>
    </row>
    <row r="35" spans="1:8" ht="37.5">
      <c r="A35" s="85" t="s">
        <v>303</v>
      </c>
      <c r="B35" s="22" t="s">
        <v>304</v>
      </c>
      <c r="C35" s="122" t="s">
        <v>204</v>
      </c>
      <c r="D35" s="122" t="s">
        <v>204</v>
      </c>
      <c r="E35" s="122" t="s">
        <v>204</v>
      </c>
      <c r="F35" s="122" t="s">
        <v>204</v>
      </c>
      <c r="G35" s="125" t="e">
        <f t="shared" si="0"/>
        <v>#VALUE!</v>
      </c>
      <c r="H35" s="123" t="e">
        <f t="shared" si="1"/>
        <v>#VALUE!</v>
      </c>
    </row>
    <row r="36" spans="1:8" ht="19.5" customHeight="1">
      <c r="A36" s="85" t="s">
        <v>489</v>
      </c>
      <c r="B36" s="22">
        <v>3150</v>
      </c>
      <c r="C36" s="122">
        <v>-1315.5</v>
      </c>
      <c r="D36" s="122">
        <f>SUM(D37:D38)</f>
        <v>-1984</v>
      </c>
      <c r="E36" s="122">
        <f>SUM(E37:E38)</f>
        <v>-1070</v>
      </c>
      <c r="F36" s="122">
        <f>SUM(F37:F38)</f>
        <v>-1130.3</v>
      </c>
      <c r="G36" s="126">
        <f t="shared" si="0"/>
        <v>-60.299999999999955</v>
      </c>
      <c r="H36" s="123">
        <f t="shared" si="1"/>
        <v>105.63551401869158</v>
      </c>
    </row>
    <row r="37" spans="1:8" ht="19.5" customHeight="1">
      <c r="A37" s="85" t="s">
        <v>485</v>
      </c>
      <c r="B37" s="22" t="s">
        <v>486</v>
      </c>
      <c r="C37" s="122">
        <v>0</v>
      </c>
      <c r="D37" s="122">
        <f>-800.7-1051.2</f>
        <v>-1851.9</v>
      </c>
      <c r="E37" s="122">
        <v>-1000</v>
      </c>
      <c r="F37" s="122">
        <v>-1051.2</v>
      </c>
      <c r="G37" s="126"/>
      <c r="H37" s="123"/>
    </row>
    <row r="38" spans="1:8" ht="19.5" customHeight="1">
      <c r="A38" s="85" t="s">
        <v>487</v>
      </c>
      <c r="B38" s="22" t="s">
        <v>488</v>
      </c>
      <c r="C38" s="122">
        <v>0</v>
      </c>
      <c r="D38" s="122">
        <f>-53-79.1</f>
        <v>-132.1</v>
      </c>
      <c r="E38" s="122">
        <v>-70</v>
      </c>
      <c r="F38" s="122">
        <v>-79.1</v>
      </c>
      <c r="G38" s="126"/>
      <c r="H38" s="123"/>
    </row>
    <row r="39" spans="1:8" ht="19.5" customHeight="1">
      <c r="A39" s="85" t="s">
        <v>305</v>
      </c>
      <c r="B39" s="22">
        <v>3160</v>
      </c>
      <c r="C39" s="122" t="s">
        <v>204</v>
      </c>
      <c r="D39" s="122" t="s">
        <v>204</v>
      </c>
      <c r="E39" s="122" t="s">
        <v>204</v>
      </c>
      <c r="F39" s="122" t="s">
        <v>204</v>
      </c>
      <c r="G39" s="125" t="e">
        <f t="shared" si="0"/>
        <v>#VALUE!</v>
      </c>
      <c r="H39" s="123" t="e">
        <f t="shared" si="1"/>
        <v>#VALUE!</v>
      </c>
    </row>
    <row r="40" spans="1:8" ht="19.5" customHeight="1">
      <c r="A40" s="86" t="s">
        <v>306</v>
      </c>
      <c r="B40" s="22">
        <v>3170</v>
      </c>
      <c r="C40" s="119">
        <v>-1041.5</v>
      </c>
      <c r="D40" s="119">
        <f>SUM(D41:D47)</f>
        <v>-3393</v>
      </c>
      <c r="E40" s="119">
        <f>SUM(E41:E47)</f>
        <v>-340</v>
      </c>
      <c r="F40" s="119">
        <f>SUM(F41:F47)</f>
        <v>-2224.6</v>
      </c>
      <c r="G40" s="122">
        <f t="shared" si="0"/>
        <v>-1884.6</v>
      </c>
      <c r="H40" s="130">
        <f t="shared" si="1"/>
        <v>654.2941176470588</v>
      </c>
    </row>
    <row r="41" spans="1:8" ht="25.5" customHeight="1">
      <c r="A41" s="306" t="s">
        <v>490</v>
      </c>
      <c r="B41" s="22" t="s">
        <v>491</v>
      </c>
      <c r="C41" s="122">
        <v>0</v>
      </c>
      <c r="D41" s="122">
        <f>-25.3-33.2</f>
        <v>-58.5</v>
      </c>
      <c r="E41" s="122">
        <v>-50</v>
      </c>
      <c r="F41" s="122">
        <v>-33.2</v>
      </c>
      <c r="G41" s="122"/>
      <c r="H41" s="130"/>
    </row>
    <row r="42" spans="1:8" ht="24" customHeight="1">
      <c r="A42" s="306" t="s">
        <v>469</v>
      </c>
      <c r="B42" s="22" t="s">
        <v>492</v>
      </c>
      <c r="C42" s="122">
        <v>0</v>
      </c>
      <c r="D42" s="122">
        <f>-622.8-1328.3</f>
        <v>-1951.1</v>
      </c>
      <c r="E42" s="122">
        <v>0</v>
      </c>
      <c r="F42" s="122">
        <v>-1328.3</v>
      </c>
      <c r="G42" s="122"/>
      <c r="H42" s="130"/>
    </row>
    <row r="43" spans="1:8" ht="27" customHeight="1">
      <c r="A43" s="306" t="s">
        <v>452</v>
      </c>
      <c r="B43" s="22" t="s">
        <v>493</v>
      </c>
      <c r="C43" s="122">
        <v>0</v>
      </c>
      <c r="D43" s="122">
        <f>-373.4-663.2</f>
        <v>-1036.6</v>
      </c>
      <c r="E43" s="122">
        <v>-100</v>
      </c>
      <c r="F43" s="122">
        <v>-663.2</v>
      </c>
      <c r="G43" s="122"/>
      <c r="H43" s="130"/>
    </row>
    <row r="44" spans="1:8" ht="27" customHeight="1">
      <c r="A44" s="306" t="s">
        <v>494</v>
      </c>
      <c r="B44" s="22" t="s">
        <v>495</v>
      </c>
      <c r="C44" s="122">
        <v>0</v>
      </c>
      <c r="D44" s="122">
        <f>-19.2-23.4</f>
        <v>-42.599999999999994</v>
      </c>
      <c r="E44" s="122">
        <v>-20</v>
      </c>
      <c r="F44" s="122">
        <v>-23.4</v>
      </c>
      <c r="G44" s="122"/>
      <c r="H44" s="130"/>
    </row>
    <row r="45" spans="1:8" ht="27.75" customHeight="1">
      <c r="A45" s="306" t="s">
        <v>496</v>
      </c>
      <c r="B45" s="22" t="s">
        <v>497</v>
      </c>
      <c r="C45" s="122">
        <v>0</v>
      </c>
      <c r="D45" s="122">
        <f>-71.3-61</f>
        <v>-132.3</v>
      </c>
      <c r="E45" s="122">
        <v>-50</v>
      </c>
      <c r="F45" s="122">
        <v>-61</v>
      </c>
      <c r="G45" s="122"/>
      <c r="H45" s="130"/>
    </row>
    <row r="46" spans="1:8" ht="30.75" customHeight="1">
      <c r="A46" s="306" t="s">
        <v>498</v>
      </c>
      <c r="B46" s="22" t="s">
        <v>499</v>
      </c>
      <c r="C46" s="122">
        <v>0</v>
      </c>
      <c r="D46" s="122">
        <f>-35.9-2.2</f>
        <v>-38.1</v>
      </c>
      <c r="E46" s="122">
        <v>-20</v>
      </c>
      <c r="F46" s="122">
        <v>-2.2</v>
      </c>
      <c r="G46" s="122"/>
      <c r="H46" s="130"/>
    </row>
    <row r="47" spans="1:8" ht="33.75" customHeight="1">
      <c r="A47" s="306" t="s">
        <v>500</v>
      </c>
      <c r="B47" s="22" t="s">
        <v>501</v>
      </c>
      <c r="C47" s="122">
        <v>0</v>
      </c>
      <c r="D47" s="122">
        <f>-20.5-113.3</f>
        <v>-133.8</v>
      </c>
      <c r="E47" s="122">
        <v>-100</v>
      </c>
      <c r="F47" s="122">
        <v>-113.3</v>
      </c>
      <c r="G47" s="122"/>
      <c r="H47" s="130"/>
    </row>
    <row r="48" spans="1:8" ht="19.5" customHeight="1">
      <c r="A48" s="131" t="s">
        <v>123</v>
      </c>
      <c r="B48" s="132">
        <v>3195</v>
      </c>
      <c r="C48" s="118">
        <f>SUM(C7,C20)</f>
        <v>1508.9000000000015</v>
      </c>
      <c r="D48" s="118">
        <f>SUM(D7,D20)</f>
        <v>-764.7999999999975</v>
      </c>
      <c r="E48" s="118">
        <f>SUM(E7,E20)</f>
        <v>0</v>
      </c>
      <c r="F48" s="118">
        <f>SUM(F7,F20)</f>
        <v>-1465.7999999999993</v>
      </c>
      <c r="G48" s="119">
        <f aca="true" t="shared" si="2" ref="G48:G82">F48-E48</f>
        <v>-1465.7999999999993</v>
      </c>
      <c r="H48" s="120" t="e">
        <f aca="true" t="shared" si="3" ref="H48:H82">(F48/E48)*100</f>
        <v>#DIV/0!</v>
      </c>
    </row>
    <row r="49" spans="1:8" ht="19.5" customHeight="1">
      <c r="A49" s="113" t="s">
        <v>307</v>
      </c>
      <c r="B49" s="114"/>
      <c r="C49" s="133"/>
      <c r="D49" s="133"/>
      <c r="E49" s="133"/>
      <c r="F49" s="133"/>
      <c r="G49" s="125">
        <f t="shared" si="2"/>
        <v>0</v>
      </c>
      <c r="H49" s="123" t="e">
        <f t="shared" si="3"/>
        <v>#DIV/0!</v>
      </c>
    </row>
    <row r="50" spans="1:8" ht="19.5" customHeight="1">
      <c r="A50" s="116" t="s">
        <v>308</v>
      </c>
      <c r="B50" s="117">
        <v>3200</v>
      </c>
      <c r="C50" s="134">
        <f>SUM(C51:C54)</f>
        <v>0</v>
      </c>
      <c r="D50" s="134">
        <f>SUM(D51:D54)</f>
        <v>0</v>
      </c>
      <c r="E50" s="134">
        <f>SUM(E51:E54)</f>
        <v>0</v>
      </c>
      <c r="F50" s="134">
        <f>SUM(F51:F54)</f>
        <v>0</v>
      </c>
      <c r="G50" s="135">
        <f t="shared" si="2"/>
        <v>0</v>
      </c>
      <c r="H50" s="120" t="e">
        <f t="shared" si="3"/>
        <v>#DIV/0!</v>
      </c>
    </row>
    <row r="51" spans="1:8" ht="19.5" customHeight="1">
      <c r="A51" s="85" t="s">
        <v>309</v>
      </c>
      <c r="B51" s="22">
        <v>3210</v>
      </c>
      <c r="C51" s="136"/>
      <c r="D51" s="136"/>
      <c r="E51" s="136"/>
      <c r="F51" s="136"/>
      <c r="G51" s="125">
        <f t="shared" si="2"/>
        <v>0</v>
      </c>
      <c r="H51" s="123" t="e">
        <f t="shared" si="3"/>
        <v>#DIV/0!</v>
      </c>
    </row>
    <row r="52" spans="1:8" ht="19.5" customHeight="1">
      <c r="A52" s="85" t="s">
        <v>310</v>
      </c>
      <c r="B52" s="22">
        <v>3220</v>
      </c>
      <c r="C52" s="136"/>
      <c r="D52" s="136"/>
      <c r="E52" s="136"/>
      <c r="F52" s="136"/>
      <c r="G52" s="125">
        <f t="shared" si="2"/>
        <v>0</v>
      </c>
      <c r="H52" s="123" t="e">
        <f t="shared" si="3"/>
        <v>#DIV/0!</v>
      </c>
    </row>
    <row r="53" spans="1:8" ht="19.5" customHeight="1">
      <c r="A53" s="85" t="s">
        <v>311</v>
      </c>
      <c r="B53" s="22">
        <v>3230</v>
      </c>
      <c r="C53" s="136"/>
      <c r="D53" s="136"/>
      <c r="E53" s="136"/>
      <c r="F53" s="136"/>
      <c r="G53" s="125">
        <f t="shared" si="2"/>
        <v>0</v>
      </c>
      <c r="H53" s="123" t="e">
        <f t="shared" si="3"/>
        <v>#DIV/0!</v>
      </c>
    </row>
    <row r="54" spans="1:8" ht="19.5" customHeight="1">
      <c r="A54" s="85" t="s">
        <v>312</v>
      </c>
      <c r="B54" s="22">
        <v>3240</v>
      </c>
      <c r="C54" s="136"/>
      <c r="D54" s="136"/>
      <c r="E54" s="136"/>
      <c r="F54" s="136"/>
      <c r="G54" s="125">
        <f t="shared" si="2"/>
        <v>0</v>
      </c>
      <c r="H54" s="123" t="e">
        <f t="shared" si="3"/>
        <v>#DIV/0!</v>
      </c>
    </row>
    <row r="55" spans="1:8" ht="19.5" customHeight="1">
      <c r="A55" s="86" t="s">
        <v>313</v>
      </c>
      <c r="B55" s="75">
        <v>3255</v>
      </c>
      <c r="C55" s="137">
        <f>SUM(C56:C60)</f>
        <v>0</v>
      </c>
      <c r="D55" s="134">
        <f>SUM(D56:D60)</f>
        <v>0</v>
      </c>
      <c r="E55" s="134">
        <f>SUM(E56:E60)</f>
        <v>0</v>
      </c>
      <c r="F55" s="134">
        <f>SUM(F56:F60)</f>
        <v>0</v>
      </c>
      <c r="G55" s="135">
        <f t="shared" si="2"/>
        <v>0</v>
      </c>
      <c r="H55" s="120" t="e">
        <f t="shared" si="3"/>
        <v>#DIV/0!</v>
      </c>
    </row>
    <row r="56" spans="1:8" ht="19.5" customHeight="1">
      <c r="A56" s="85" t="s">
        <v>314</v>
      </c>
      <c r="B56" s="22">
        <v>3260</v>
      </c>
      <c r="C56" s="126" t="s">
        <v>204</v>
      </c>
      <c r="D56" s="136" t="s">
        <v>204</v>
      </c>
      <c r="E56" s="136" t="s">
        <v>204</v>
      </c>
      <c r="F56" s="136" t="s">
        <v>204</v>
      </c>
      <c r="G56" s="125" t="e">
        <f t="shared" si="2"/>
        <v>#VALUE!</v>
      </c>
      <c r="H56" s="123" t="e">
        <f t="shared" si="3"/>
        <v>#VALUE!</v>
      </c>
    </row>
    <row r="57" spans="1:8" ht="19.5" customHeight="1">
      <c r="A57" s="85" t="s">
        <v>315</v>
      </c>
      <c r="B57" s="22">
        <v>3265</v>
      </c>
      <c r="C57" s="126" t="s">
        <v>204</v>
      </c>
      <c r="D57" s="136" t="s">
        <v>204</v>
      </c>
      <c r="E57" s="136" t="s">
        <v>204</v>
      </c>
      <c r="F57" s="136" t="s">
        <v>204</v>
      </c>
      <c r="G57" s="125" t="e">
        <f t="shared" si="2"/>
        <v>#VALUE!</v>
      </c>
      <c r="H57" s="123" t="e">
        <f t="shared" si="3"/>
        <v>#VALUE!</v>
      </c>
    </row>
    <row r="58" spans="1:8" ht="19.5" customHeight="1">
      <c r="A58" s="85" t="s">
        <v>316</v>
      </c>
      <c r="B58" s="22">
        <v>3270</v>
      </c>
      <c r="C58" s="126" t="s">
        <v>204</v>
      </c>
      <c r="D58" s="136" t="s">
        <v>204</v>
      </c>
      <c r="E58" s="136" t="s">
        <v>204</v>
      </c>
      <c r="F58" s="136" t="s">
        <v>204</v>
      </c>
      <c r="G58" s="125" t="e">
        <f t="shared" si="2"/>
        <v>#VALUE!</v>
      </c>
      <c r="H58" s="123" t="e">
        <f t="shared" si="3"/>
        <v>#VALUE!</v>
      </c>
    </row>
    <row r="59" spans="1:8" ht="19.5" customHeight="1">
      <c r="A59" s="85" t="s">
        <v>317</v>
      </c>
      <c r="B59" s="22">
        <v>3275</v>
      </c>
      <c r="C59" s="126" t="s">
        <v>204</v>
      </c>
      <c r="D59" s="136" t="s">
        <v>204</v>
      </c>
      <c r="E59" s="136" t="s">
        <v>204</v>
      </c>
      <c r="F59" s="136" t="s">
        <v>204</v>
      </c>
      <c r="G59" s="125" t="e">
        <f t="shared" si="2"/>
        <v>#VALUE!</v>
      </c>
      <c r="H59" s="123" t="e">
        <f t="shared" si="3"/>
        <v>#VALUE!</v>
      </c>
    </row>
    <row r="60" spans="1:8" ht="19.5" customHeight="1">
      <c r="A60" s="85" t="s">
        <v>318</v>
      </c>
      <c r="B60" s="22">
        <v>3280</v>
      </c>
      <c r="C60" s="126" t="s">
        <v>204</v>
      </c>
      <c r="D60" s="136" t="s">
        <v>204</v>
      </c>
      <c r="E60" s="136" t="s">
        <v>204</v>
      </c>
      <c r="F60" s="136" t="s">
        <v>204</v>
      </c>
      <c r="G60" s="125" t="e">
        <f t="shared" si="2"/>
        <v>#VALUE!</v>
      </c>
      <c r="H60" s="123" t="e">
        <f t="shared" si="3"/>
        <v>#VALUE!</v>
      </c>
    </row>
    <row r="61" spans="1:8" ht="19.5" customHeight="1">
      <c r="A61" s="138" t="s">
        <v>124</v>
      </c>
      <c r="B61" s="132">
        <v>3295</v>
      </c>
      <c r="C61" s="137">
        <f>SUM(C50,C55)</f>
        <v>0</v>
      </c>
      <c r="D61" s="134">
        <f>SUM(D50,D55)</f>
        <v>0</v>
      </c>
      <c r="E61" s="134">
        <f>SUM(E50,E55)</f>
        <v>0</v>
      </c>
      <c r="F61" s="134">
        <f>SUM(F50,F55)</f>
        <v>0</v>
      </c>
      <c r="G61" s="135">
        <f t="shared" si="2"/>
        <v>0</v>
      </c>
      <c r="H61" s="120" t="e">
        <f t="shared" si="3"/>
        <v>#DIV/0!</v>
      </c>
    </row>
    <row r="62" spans="1:8" ht="19.5" customHeight="1">
      <c r="A62" s="113" t="s">
        <v>319</v>
      </c>
      <c r="B62" s="114"/>
      <c r="C62" s="133"/>
      <c r="D62" s="133"/>
      <c r="E62" s="133"/>
      <c r="F62" s="133"/>
      <c r="G62" s="125">
        <f t="shared" si="2"/>
        <v>0</v>
      </c>
      <c r="H62" s="123" t="e">
        <f t="shared" si="3"/>
        <v>#DIV/0!</v>
      </c>
    </row>
    <row r="63" spans="1:8" ht="19.5" customHeight="1">
      <c r="A63" s="86" t="s">
        <v>320</v>
      </c>
      <c r="B63" s="75">
        <v>3300</v>
      </c>
      <c r="C63" s="134">
        <f>SUM(C64,C65,C69)</f>
        <v>0</v>
      </c>
      <c r="D63" s="134">
        <f>SUM(D64,D65,D69)</f>
        <v>0</v>
      </c>
      <c r="E63" s="134">
        <f>SUM(E64,E65,E69)</f>
        <v>0</v>
      </c>
      <c r="F63" s="134">
        <f>SUM(F64,F65,F69)</f>
        <v>0</v>
      </c>
      <c r="G63" s="135">
        <f t="shared" si="2"/>
        <v>0</v>
      </c>
      <c r="H63" s="120" t="e">
        <f t="shared" si="3"/>
        <v>#DIV/0!</v>
      </c>
    </row>
    <row r="64" spans="1:8" ht="19.5" customHeight="1">
      <c r="A64" s="85" t="s">
        <v>321</v>
      </c>
      <c r="B64" s="22">
        <v>3310</v>
      </c>
      <c r="C64" s="136"/>
      <c r="D64" s="136"/>
      <c r="E64" s="136"/>
      <c r="F64" s="136"/>
      <c r="G64" s="125">
        <f t="shared" si="2"/>
        <v>0</v>
      </c>
      <c r="H64" s="123" t="e">
        <f t="shared" si="3"/>
        <v>#DIV/0!</v>
      </c>
    </row>
    <row r="65" spans="1:8" ht="19.5" customHeight="1">
      <c r="A65" s="85" t="s">
        <v>322</v>
      </c>
      <c r="B65" s="22">
        <v>3320</v>
      </c>
      <c r="C65" s="139">
        <f>SUM(C66:C68)</f>
        <v>0</v>
      </c>
      <c r="D65" s="139">
        <f>SUM(D66:D68)</f>
        <v>0</v>
      </c>
      <c r="E65" s="139">
        <f>SUM(E66:E68)</f>
        <v>0</v>
      </c>
      <c r="F65" s="139">
        <f>SUM(F66:F68)</f>
        <v>0</v>
      </c>
      <c r="G65" s="125">
        <f t="shared" si="2"/>
        <v>0</v>
      </c>
      <c r="H65" s="123" t="e">
        <f t="shared" si="3"/>
        <v>#DIV/0!</v>
      </c>
    </row>
    <row r="66" spans="1:8" ht="19.5" customHeight="1">
      <c r="A66" s="85" t="s">
        <v>290</v>
      </c>
      <c r="B66" s="22">
        <v>3321</v>
      </c>
      <c r="C66" s="136"/>
      <c r="D66" s="136"/>
      <c r="E66" s="136"/>
      <c r="F66" s="136"/>
      <c r="G66" s="125">
        <f t="shared" si="2"/>
        <v>0</v>
      </c>
      <c r="H66" s="123" t="e">
        <f t="shared" si="3"/>
        <v>#DIV/0!</v>
      </c>
    </row>
    <row r="67" spans="1:8" ht="19.5" customHeight="1">
      <c r="A67" s="85" t="s">
        <v>291</v>
      </c>
      <c r="B67" s="22">
        <v>3322</v>
      </c>
      <c r="C67" s="136"/>
      <c r="D67" s="136"/>
      <c r="E67" s="136"/>
      <c r="F67" s="136"/>
      <c r="G67" s="125">
        <f t="shared" si="2"/>
        <v>0</v>
      </c>
      <c r="H67" s="123" t="e">
        <f t="shared" si="3"/>
        <v>#DIV/0!</v>
      </c>
    </row>
    <row r="68" spans="1:8" ht="19.5" customHeight="1">
      <c r="A68" s="85" t="s">
        <v>292</v>
      </c>
      <c r="B68" s="22">
        <v>3323</v>
      </c>
      <c r="C68" s="136"/>
      <c r="D68" s="136"/>
      <c r="E68" s="136"/>
      <c r="F68" s="136"/>
      <c r="G68" s="125">
        <f t="shared" si="2"/>
        <v>0</v>
      </c>
      <c r="H68" s="123" t="e">
        <f t="shared" si="3"/>
        <v>#DIV/0!</v>
      </c>
    </row>
    <row r="69" spans="1:8" ht="19.5" customHeight="1">
      <c r="A69" s="85" t="s">
        <v>312</v>
      </c>
      <c r="B69" s="22">
        <v>3340</v>
      </c>
      <c r="C69" s="136"/>
      <c r="D69" s="136"/>
      <c r="E69" s="136"/>
      <c r="F69" s="136"/>
      <c r="G69" s="125">
        <f t="shared" si="2"/>
        <v>0</v>
      </c>
      <c r="H69" s="123" t="e">
        <f t="shared" si="3"/>
        <v>#DIV/0!</v>
      </c>
    </row>
    <row r="70" spans="1:8" ht="19.5" customHeight="1">
      <c r="A70" s="86" t="s">
        <v>323</v>
      </c>
      <c r="B70" s="75">
        <v>3345</v>
      </c>
      <c r="C70" s="134">
        <f>SUM(C71,C72,C76,C77)</f>
        <v>0</v>
      </c>
      <c r="D70" s="134">
        <f>SUM(D71,D72,D76,D77)</f>
        <v>0</v>
      </c>
      <c r="E70" s="134">
        <f>SUM(E71,E72,E76,E77)</f>
        <v>0</v>
      </c>
      <c r="F70" s="134">
        <f>SUM(F71,F72,F76,F77)</f>
        <v>0</v>
      </c>
      <c r="G70" s="135">
        <f t="shared" si="2"/>
        <v>0</v>
      </c>
      <c r="H70" s="120" t="e">
        <f t="shared" si="3"/>
        <v>#DIV/0!</v>
      </c>
    </row>
    <row r="71" spans="1:8" ht="19.5" customHeight="1">
      <c r="A71" s="85" t="s">
        <v>324</v>
      </c>
      <c r="B71" s="22">
        <v>3350</v>
      </c>
      <c r="C71" s="136" t="s">
        <v>204</v>
      </c>
      <c r="D71" s="136" t="s">
        <v>204</v>
      </c>
      <c r="E71" s="136" t="s">
        <v>204</v>
      </c>
      <c r="F71" s="136" t="s">
        <v>204</v>
      </c>
      <c r="G71" s="125" t="e">
        <f t="shared" si="2"/>
        <v>#VALUE!</v>
      </c>
      <c r="H71" s="123" t="e">
        <f t="shared" si="3"/>
        <v>#VALUE!</v>
      </c>
    </row>
    <row r="72" spans="1:8" ht="19.5" customHeight="1">
      <c r="A72" s="85" t="s">
        <v>325</v>
      </c>
      <c r="B72" s="22">
        <v>3360</v>
      </c>
      <c r="C72" s="139">
        <f>SUM(C73:C75)</f>
        <v>0</v>
      </c>
      <c r="D72" s="139">
        <f>SUM(D73:D75)</f>
        <v>0</v>
      </c>
      <c r="E72" s="139">
        <f>SUM(E73:E75)</f>
        <v>0</v>
      </c>
      <c r="F72" s="139">
        <f>SUM(F73:F75)</f>
        <v>0</v>
      </c>
      <c r="G72" s="125">
        <f t="shared" si="2"/>
        <v>0</v>
      </c>
      <c r="H72" s="123" t="e">
        <f t="shared" si="3"/>
        <v>#DIV/0!</v>
      </c>
    </row>
    <row r="73" spans="1:8" ht="19.5" customHeight="1">
      <c r="A73" s="85" t="s">
        <v>290</v>
      </c>
      <c r="B73" s="22">
        <v>3361</v>
      </c>
      <c r="C73" s="136" t="s">
        <v>204</v>
      </c>
      <c r="D73" s="136" t="s">
        <v>204</v>
      </c>
      <c r="E73" s="136" t="s">
        <v>204</v>
      </c>
      <c r="F73" s="136" t="s">
        <v>204</v>
      </c>
      <c r="G73" s="125" t="e">
        <f t="shared" si="2"/>
        <v>#VALUE!</v>
      </c>
      <c r="H73" s="123" t="e">
        <f t="shared" si="3"/>
        <v>#VALUE!</v>
      </c>
    </row>
    <row r="74" spans="1:8" ht="19.5" customHeight="1">
      <c r="A74" s="85" t="s">
        <v>291</v>
      </c>
      <c r="B74" s="22">
        <v>3362</v>
      </c>
      <c r="C74" s="136" t="s">
        <v>204</v>
      </c>
      <c r="D74" s="136" t="s">
        <v>204</v>
      </c>
      <c r="E74" s="136" t="s">
        <v>204</v>
      </c>
      <c r="F74" s="136" t="s">
        <v>204</v>
      </c>
      <c r="G74" s="125" t="e">
        <f t="shared" si="2"/>
        <v>#VALUE!</v>
      </c>
      <c r="H74" s="123" t="e">
        <f t="shared" si="3"/>
        <v>#VALUE!</v>
      </c>
    </row>
    <row r="75" spans="1:8" ht="19.5" customHeight="1">
      <c r="A75" s="85" t="s">
        <v>292</v>
      </c>
      <c r="B75" s="22">
        <v>3363</v>
      </c>
      <c r="C75" s="136" t="s">
        <v>204</v>
      </c>
      <c r="D75" s="136" t="s">
        <v>204</v>
      </c>
      <c r="E75" s="136" t="s">
        <v>204</v>
      </c>
      <c r="F75" s="136" t="s">
        <v>204</v>
      </c>
      <c r="G75" s="125" t="e">
        <f t="shared" si="2"/>
        <v>#VALUE!</v>
      </c>
      <c r="H75" s="123" t="e">
        <f t="shared" si="3"/>
        <v>#VALUE!</v>
      </c>
    </row>
    <row r="76" spans="1:8" ht="19.5" customHeight="1">
      <c r="A76" s="85" t="s">
        <v>326</v>
      </c>
      <c r="B76" s="22">
        <v>3370</v>
      </c>
      <c r="C76" s="136" t="s">
        <v>204</v>
      </c>
      <c r="D76" s="136" t="s">
        <v>204</v>
      </c>
      <c r="E76" s="136" t="s">
        <v>204</v>
      </c>
      <c r="F76" s="136" t="s">
        <v>204</v>
      </c>
      <c r="G76" s="125" t="e">
        <f t="shared" si="2"/>
        <v>#VALUE!</v>
      </c>
      <c r="H76" s="123" t="e">
        <f t="shared" si="3"/>
        <v>#VALUE!</v>
      </c>
    </row>
    <row r="77" spans="1:8" ht="19.5" customHeight="1">
      <c r="A77" s="85" t="s">
        <v>318</v>
      </c>
      <c r="B77" s="22">
        <v>3380</v>
      </c>
      <c r="C77" s="136" t="s">
        <v>204</v>
      </c>
      <c r="D77" s="136" t="s">
        <v>204</v>
      </c>
      <c r="E77" s="136" t="s">
        <v>204</v>
      </c>
      <c r="F77" s="136" t="s">
        <v>204</v>
      </c>
      <c r="G77" s="125" t="e">
        <f t="shared" si="2"/>
        <v>#VALUE!</v>
      </c>
      <c r="H77" s="123" t="e">
        <f t="shared" si="3"/>
        <v>#VALUE!</v>
      </c>
    </row>
    <row r="78" spans="1:8" ht="19.5" customHeight="1">
      <c r="A78" s="86" t="s">
        <v>327</v>
      </c>
      <c r="B78" s="75">
        <v>3395</v>
      </c>
      <c r="C78" s="134">
        <f>SUM(C63,C70)</f>
        <v>0</v>
      </c>
      <c r="D78" s="134">
        <f>SUM(D63,D70)</f>
        <v>0</v>
      </c>
      <c r="E78" s="134">
        <f>SUM(E63,E70)</f>
        <v>0</v>
      </c>
      <c r="F78" s="134">
        <f>SUM(F63,F70)</f>
        <v>0</v>
      </c>
      <c r="G78" s="135">
        <f t="shared" si="2"/>
        <v>0</v>
      </c>
      <c r="H78" s="120" t="e">
        <f t="shared" si="3"/>
        <v>#DIV/0!</v>
      </c>
    </row>
    <row r="79" spans="1:8" ht="19.5" customHeight="1">
      <c r="A79" s="140" t="s">
        <v>328</v>
      </c>
      <c r="B79" s="75">
        <v>3400</v>
      </c>
      <c r="C79" s="118">
        <f>SUM(C48,C61,C78)</f>
        <v>1508.9000000000015</v>
      </c>
      <c r="D79" s="118">
        <f>SUM(D48,D61,D78)</f>
        <v>-764.7999999999975</v>
      </c>
      <c r="E79" s="118">
        <f>SUM(E48,E61,E78)</f>
        <v>0</v>
      </c>
      <c r="F79" s="118">
        <f>SUM(F48,F61,F78)</f>
        <v>-1465.7999999999993</v>
      </c>
      <c r="G79" s="141">
        <f t="shared" si="2"/>
        <v>-1465.7999999999993</v>
      </c>
      <c r="H79" s="120" t="e">
        <f t="shared" si="3"/>
        <v>#DIV/0!</v>
      </c>
    </row>
    <row r="80" spans="1:8" ht="19.5" customHeight="1">
      <c r="A80" s="85" t="s">
        <v>121</v>
      </c>
      <c r="B80" s="22">
        <v>3405</v>
      </c>
      <c r="C80" s="121">
        <v>5904</v>
      </c>
      <c r="D80" s="121">
        <v>8319.5</v>
      </c>
      <c r="E80" s="121">
        <v>0</v>
      </c>
      <c r="F80" s="121">
        <v>9020.5</v>
      </c>
      <c r="G80" s="121">
        <f t="shared" si="2"/>
        <v>9020.5</v>
      </c>
      <c r="H80" s="123" t="e">
        <f t="shared" si="3"/>
        <v>#DIV/0!</v>
      </c>
    </row>
    <row r="81" spans="1:8" ht="19.5" customHeight="1">
      <c r="A81" s="142" t="s">
        <v>126</v>
      </c>
      <c r="B81" s="22">
        <v>3410</v>
      </c>
      <c r="C81" s="121"/>
      <c r="D81" s="121"/>
      <c r="E81" s="121"/>
      <c r="F81" s="121"/>
      <c r="G81" s="121">
        <f t="shared" si="2"/>
        <v>0</v>
      </c>
      <c r="H81" s="123" t="e">
        <f t="shared" si="3"/>
        <v>#DIV/0!</v>
      </c>
    </row>
    <row r="82" spans="1:8" ht="19.5" customHeight="1">
      <c r="A82" s="85" t="s">
        <v>127</v>
      </c>
      <c r="B82" s="22">
        <v>3415</v>
      </c>
      <c r="C82" s="143">
        <f>SUM(C80,C79,C81)</f>
        <v>7412.9000000000015</v>
      </c>
      <c r="D82" s="143">
        <f>SUM(D80,D79,D81)</f>
        <v>7554.700000000003</v>
      </c>
      <c r="E82" s="143">
        <f>SUM(E80,E79,E81)</f>
        <v>0</v>
      </c>
      <c r="F82" s="143">
        <f>SUM(F80,F79,F81)</f>
        <v>7554.700000000001</v>
      </c>
      <c r="G82" s="121">
        <f t="shared" si="2"/>
        <v>7554.700000000001</v>
      </c>
      <c r="H82" s="123" t="e">
        <f t="shared" si="3"/>
        <v>#DIV/0!</v>
      </c>
    </row>
    <row r="83" spans="1:8" s="112" customFormat="1" ht="10.5" customHeight="1">
      <c r="A83" s="6"/>
      <c r="B83" s="73"/>
      <c r="C83" s="73"/>
      <c r="D83" s="73"/>
      <c r="E83" s="73"/>
      <c r="F83" s="73"/>
      <c r="G83" s="73"/>
      <c r="H83" s="73"/>
    </row>
    <row r="84" spans="1:8" s="57" customFormat="1" ht="27.75" customHeight="1">
      <c r="A84" s="99" t="s">
        <v>193</v>
      </c>
      <c r="B84" s="16"/>
      <c r="C84" s="318" t="s">
        <v>529</v>
      </c>
      <c r="D84" s="318"/>
      <c r="E84" s="100"/>
      <c r="F84" s="357"/>
      <c r="G84" s="357"/>
      <c r="H84" s="357"/>
    </row>
    <row r="85" spans="1:8" ht="18.75">
      <c r="A85" s="101" t="s">
        <v>195</v>
      </c>
      <c r="B85" s="57"/>
      <c r="C85" s="343"/>
      <c r="D85" s="343"/>
      <c r="E85" s="57"/>
      <c r="F85" s="344"/>
      <c r="G85" s="344"/>
      <c r="H85" s="344"/>
    </row>
  </sheetData>
  <sheetProtection/>
  <mergeCells count="9">
    <mergeCell ref="A1:H1"/>
    <mergeCell ref="C3:D3"/>
    <mergeCell ref="E3:H3"/>
    <mergeCell ref="C84:D84"/>
    <mergeCell ref="F84:H84"/>
    <mergeCell ref="C85:D85"/>
    <mergeCell ref="F85:H85"/>
    <mergeCell ref="A3:A4"/>
    <mergeCell ref="B3:B4"/>
  </mergeCells>
  <printOptions/>
  <pageMargins left="0.8263888888888888" right="0.39305555555555605" top="0.786805555555556" bottom="0.19652777777777802" header="0.19652777777777802" footer="0.0784722222222222"/>
  <pageSetup horizontalDpi="600" verticalDpi="600" orientation="landscape" paperSize="9" scale="54" r:id="rId1"/>
  <headerFooter alignWithMargins="0">
    <oddHeader>&amp;C
&amp;"Times New Roman,обычный"&amp;14 9&amp;R&amp;"Times New Roman,обычный"&amp;14Продовження додатка 3
Таблиця 3
</oddHeader>
  </headerFooter>
  <ignoredErrors>
    <ignoredError sqref="G48:G82 H48:H82 H39 G39 H14:H20 H21:H35 G21:G35 H7:H10" evalError="1"/>
  </ignoredErrors>
</worksheet>
</file>

<file path=xl/worksheets/sheet5.xml><?xml version="1.0" encoding="utf-8"?>
<worksheet xmlns="http://schemas.openxmlformats.org/spreadsheetml/2006/main" xmlns:r="http://schemas.openxmlformats.org/officeDocument/2006/relationships">
  <sheetPr>
    <tabColor rgb="FFFFFF99"/>
  </sheetPr>
  <dimension ref="A1:O183"/>
  <sheetViews>
    <sheetView zoomScale="75" zoomScaleNormal="75" zoomScaleSheetLayoutView="100" zoomScalePageLayoutView="0" workbookViewId="0" topLeftCell="A1">
      <selection activeCell="D22" sqref="D22"/>
    </sheetView>
  </sheetViews>
  <sheetFormatPr defaultColWidth="9.00390625" defaultRowHeight="12.75"/>
  <cols>
    <col min="1" max="1" width="82.25390625" style="57" customWidth="1"/>
    <col min="2" max="2" width="9.875" style="16" customWidth="1"/>
    <col min="3" max="7" width="25.75390625" style="16" customWidth="1"/>
    <col min="8" max="8" width="21.125" style="16" customWidth="1"/>
    <col min="9" max="9" width="9.625" style="57" customWidth="1"/>
    <col min="10" max="10" width="9.875" style="57" customWidth="1"/>
    <col min="11" max="11" width="9.125" style="57" bestFit="1" customWidth="1"/>
    <col min="12" max="16384" width="9.125" style="57" customWidth="1"/>
  </cols>
  <sheetData>
    <row r="1" spans="1:8" ht="18.75">
      <c r="A1" s="324" t="s">
        <v>523</v>
      </c>
      <c r="B1" s="324"/>
      <c r="C1" s="324"/>
      <c r="D1" s="324"/>
      <c r="E1" s="324"/>
      <c r="F1" s="324"/>
      <c r="G1" s="324"/>
      <c r="H1" s="324"/>
    </row>
    <row r="2" spans="1:8" ht="18.75">
      <c r="A2" s="357"/>
      <c r="B2" s="357"/>
      <c r="C2" s="357"/>
      <c r="D2" s="357"/>
      <c r="E2" s="357"/>
      <c r="F2" s="357"/>
      <c r="G2" s="357"/>
      <c r="H2" s="357"/>
    </row>
    <row r="3" spans="1:8" ht="43.5" customHeight="1">
      <c r="A3" s="365" t="s">
        <v>38</v>
      </c>
      <c r="B3" s="326" t="s">
        <v>39</v>
      </c>
      <c r="C3" s="326" t="s">
        <v>40</v>
      </c>
      <c r="D3" s="326"/>
      <c r="E3" s="327" t="s">
        <v>41</v>
      </c>
      <c r="F3" s="327"/>
      <c r="G3" s="327"/>
      <c r="H3" s="327"/>
    </row>
    <row r="4" spans="1:8" ht="56.25" customHeight="1">
      <c r="A4" s="366"/>
      <c r="B4" s="326"/>
      <c r="C4" s="13" t="s">
        <v>42</v>
      </c>
      <c r="D4" s="13" t="s">
        <v>43</v>
      </c>
      <c r="E4" s="13" t="s">
        <v>44</v>
      </c>
      <c r="F4" s="13" t="s">
        <v>45</v>
      </c>
      <c r="G4" s="104" t="s">
        <v>46</v>
      </c>
      <c r="H4" s="104" t="s">
        <v>47</v>
      </c>
    </row>
    <row r="5" spans="1:8" ht="15.75" customHeight="1">
      <c r="A5" s="22">
        <v>1</v>
      </c>
      <c r="B5" s="13">
        <v>2</v>
      </c>
      <c r="C5" s="22">
        <v>3</v>
      </c>
      <c r="D5" s="13">
        <v>4</v>
      </c>
      <c r="E5" s="22">
        <v>5</v>
      </c>
      <c r="F5" s="13">
        <v>6</v>
      </c>
      <c r="G5" s="22">
        <v>7</v>
      </c>
      <c r="H5" s="13">
        <v>8</v>
      </c>
    </row>
    <row r="6" spans="1:8" s="59" customFormat="1" ht="37.5" customHeight="1">
      <c r="A6" s="60" t="s">
        <v>329</v>
      </c>
      <c r="B6" s="105">
        <v>4000</v>
      </c>
      <c r="C6" s="106">
        <f>SUM(C7:C12)</f>
        <v>1054.8000000000002</v>
      </c>
      <c r="D6" s="106">
        <f>SUM(D7:D12)</f>
        <v>480.3</v>
      </c>
      <c r="E6" s="106">
        <f>SUM(E7:E12)</f>
        <v>100</v>
      </c>
      <c r="F6" s="106">
        <f>SUM(F7:F12)</f>
        <v>457.6</v>
      </c>
      <c r="G6" s="77">
        <f>F6-E6</f>
        <v>357.6</v>
      </c>
      <c r="H6" s="107">
        <f>(F6/E6)*100</f>
        <v>457.6</v>
      </c>
    </row>
    <row r="7" spans="1:8" ht="37.5" customHeight="1">
      <c r="A7" s="61" t="s">
        <v>130</v>
      </c>
      <c r="B7" s="105" t="s">
        <v>131</v>
      </c>
      <c r="C7" s="78"/>
      <c r="D7" s="78"/>
      <c r="E7" s="78"/>
      <c r="F7" s="78"/>
      <c r="G7" s="78">
        <f aca="true" t="shared" si="0" ref="G7:G12">F7-E7</f>
        <v>0</v>
      </c>
      <c r="H7" s="108" t="e">
        <f aca="true" t="shared" si="1" ref="H7:H12">(F7/E7)*100</f>
        <v>#DIV/0!</v>
      </c>
    </row>
    <row r="8" spans="1:15" ht="37.5" customHeight="1">
      <c r="A8" s="61" t="s">
        <v>132</v>
      </c>
      <c r="B8" s="105">
        <v>4020</v>
      </c>
      <c r="C8" s="78">
        <v>598.7</v>
      </c>
      <c r="D8" s="78">
        <v>114.5</v>
      </c>
      <c r="E8" s="78">
        <v>100</v>
      </c>
      <c r="F8" s="78">
        <v>114.5</v>
      </c>
      <c r="G8" s="78">
        <f t="shared" si="0"/>
        <v>14.5</v>
      </c>
      <c r="H8" s="108">
        <f t="shared" si="1"/>
        <v>114.5</v>
      </c>
      <c r="O8" s="71"/>
    </row>
    <row r="9" spans="1:14" ht="37.5" customHeight="1">
      <c r="A9" s="61" t="s">
        <v>133</v>
      </c>
      <c r="B9" s="105">
        <v>4030</v>
      </c>
      <c r="C9" s="78">
        <v>456.1</v>
      </c>
      <c r="D9" s="78">
        <f>22.7+343.1</f>
        <v>365.8</v>
      </c>
      <c r="E9" s="78">
        <v>0</v>
      </c>
      <c r="F9" s="78">
        <v>343.1</v>
      </c>
      <c r="G9" s="78">
        <f t="shared" si="0"/>
        <v>343.1</v>
      </c>
      <c r="H9" s="108" t="e">
        <f t="shared" si="1"/>
        <v>#DIV/0!</v>
      </c>
      <c r="N9" s="71"/>
    </row>
    <row r="10" spans="1:8" ht="37.5" customHeight="1">
      <c r="A10" s="61" t="s">
        <v>134</v>
      </c>
      <c r="B10" s="105">
        <v>4040</v>
      </c>
      <c r="C10" s="109">
        <v>0</v>
      </c>
      <c r="D10" s="109">
        <v>0</v>
      </c>
      <c r="E10" s="109">
        <v>0</v>
      </c>
      <c r="F10" s="109">
        <v>0</v>
      </c>
      <c r="G10" s="109">
        <f t="shared" si="0"/>
        <v>0</v>
      </c>
      <c r="H10" s="108" t="e">
        <f t="shared" si="1"/>
        <v>#DIV/0!</v>
      </c>
    </row>
    <row r="11" spans="1:8" ht="37.5" customHeight="1">
      <c r="A11" s="61" t="s">
        <v>135</v>
      </c>
      <c r="B11" s="105">
        <v>4050</v>
      </c>
      <c r="C11" s="109"/>
      <c r="D11" s="109"/>
      <c r="E11" s="109"/>
      <c r="F11" s="109"/>
      <c r="G11" s="109">
        <f t="shared" si="0"/>
        <v>0</v>
      </c>
      <c r="H11" s="108" t="e">
        <f t="shared" si="1"/>
        <v>#DIV/0!</v>
      </c>
    </row>
    <row r="12" spans="1:8" ht="37.5" customHeight="1">
      <c r="A12" s="61" t="s">
        <v>136</v>
      </c>
      <c r="B12" s="105">
        <v>4060</v>
      </c>
      <c r="C12" s="109"/>
      <c r="D12" s="109"/>
      <c r="E12" s="109"/>
      <c r="F12" s="109"/>
      <c r="G12" s="109">
        <f t="shared" si="0"/>
        <v>0</v>
      </c>
      <c r="H12" s="108" t="e">
        <f t="shared" si="1"/>
        <v>#DIV/0!</v>
      </c>
    </row>
    <row r="13" spans="2:8" ht="18.75">
      <c r="B13" s="57"/>
      <c r="C13" s="57"/>
      <c r="D13" s="57"/>
      <c r="E13" s="57"/>
      <c r="F13" s="57"/>
      <c r="G13" s="57"/>
      <c r="H13" s="57"/>
    </row>
    <row r="14" spans="2:8" ht="18.75">
      <c r="B14" s="57"/>
      <c r="C14" s="57"/>
      <c r="D14" s="57"/>
      <c r="E14" s="57"/>
      <c r="F14" s="57"/>
      <c r="G14" s="57"/>
      <c r="H14" s="57"/>
    </row>
    <row r="15" spans="1:9" s="6" customFormat="1" ht="19.5" customHeight="1">
      <c r="A15" s="5"/>
      <c r="I15" s="57"/>
    </row>
    <row r="16" spans="1:8" ht="27.75" customHeight="1">
      <c r="A16" s="99" t="s">
        <v>193</v>
      </c>
      <c r="C16" s="349" t="s">
        <v>330</v>
      </c>
      <c r="D16" s="349"/>
      <c r="E16" s="100" t="s">
        <v>529</v>
      </c>
      <c r="F16" s="357"/>
      <c r="G16" s="357"/>
      <c r="H16" s="357"/>
    </row>
    <row r="17" spans="1:8" s="6" customFormat="1" ht="18.75">
      <c r="A17" s="101" t="s">
        <v>195</v>
      </c>
      <c r="B17" s="57"/>
      <c r="C17" s="343" t="s">
        <v>196</v>
      </c>
      <c r="D17" s="343"/>
      <c r="E17" s="57"/>
      <c r="F17" s="344"/>
      <c r="G17" s="344"/>
      <c r="H17" s="344"/>
    </row>
    <row r="18" ht="18.75">
      <c r="A18" s="110"/>
    </row>
    <row r="19" ht="18.75">
      <c r="A19" s="110"/>
    </row>
    <row r="20" ht="18.75">
      <c r="A20" s="110"/>
    </row>
    <row r="21" ht="18.75">
      <c r="A21" s="110"/>
    </row>
    <row r="22" ht="18.75">
      <c r="A22" s="110"/>
    </row>
    <row r="23" ht="18.75">
      <c r="A23" s="110"/>
    </row>
    <row r="24" ht="18.75">
      <c r="A24" s="110"/>
    </row>
    <row r="25" ht="18.75">
      <c r="A25" s="110"/>
    </row>
    <row r="26" ht="18.75">
      <c r="A26" s="110"/>
    </row>
    <row r="27" ht="18.75">
      <c r="A27" s="110"/>
    </row>
    <row r="28" ht="18.75">
      <c r="A28" s="110"/>
    </row>
    <row r="29" ht="18.75">
      <c r="A29" s="110"/>
    </row>
    <row r="30" ht="18.75">
      <c r="A30" s="110"/>
    </row>
    <row r="31" ht="18.75">
      <c r="A31" s="110"/>
    </row>
    <row r="32" ht="18.75">
      <c r="A32" s="110"/>
    </row>
    <row r="33" ht="18.75">
      <c r="A33" s="110"/>
    </row>
    <row r="34" ht="18.75">
      <c r="A34" s="110"/>
    </row>
    <row r="35" ht="18.75">
      <c r="A35" s="110"/>
    </row>
    <row r="36" ht="18.75">
      <c r="A36" s="110"/>
    </row>
    <row r="37" ht="18.75">
      <c r="A37" s="110"/>
    </row>
    <row r="38" ht="18.75">
      <c r="A38" s="110"/>
    </row>
    <row r="39" ht="18.75">
      <c r="A39" s="110"/>
    </row>
    <row r="40" ht="18.75">
      <c r="A40" s="110"/>
    </row>
    <row r="41" ht="18.75">
      <c r="A41" s="110"/>
    </row>
    <row r="42" ht="18.75">
      <c r="A42" s="110"/>
    </row>
    <row r="43" ht="18.75">
      <c r="A43" s="110"/>
    </row>
    <row r="44" ht="18.75">
      <c r="A44" s="110"/>
    </row>
    <row r="45" ht="18.75">
      <c r="A45" s="110"/>
    </row>
    <row r="46" ht="18.75">
      <c r="A46" s="110"/>
    </row>
    <row r="47" ht="18.75">
      <c r="A47" s="110"/>
    </row>
    <row r="48" ht="18.75">
      <c r="A48" s="110"/>
    </row>
    <row r="49" ht="18.75">
      <c r="A49" s="110"/>
    </row>
    <row r="50" ht="18.75">
      <c r="A50" s="110"/>
    </row>
    <row r="51" ht="18.75">
      <c r="A51" s="110"/>
    </row>
    <row r="52" ht="18.75">
      <c r="A52" s="110"/>
    </row>
    <row r="53" ht="18.75">
      <c r="A53" s="110"/>
    </row>
    <row r="54" ht="18.75">
      <c r="A54" s="110"/>
    </row>
    <row r="55" ht="18.75">
      <c r="A55" s="110"/>
    </row>
    <row r="56" ht="18.75">
      <c r="A56" s="110"/>
    </row>
    <row r="57" ht="18.75">
      <c r="A57" s="110"/>
    </row>
    <row r="58" ht="18.75">
      <c r="A58" s="110"/>
    </row>
    <row r="59" ht="18.75">
      <c r="A59" s="110"/>
    </row>
    <row r="60" ht="18.75">
      <c r="A60" s="110"/>
    </row>
    <row r="61" ht="18.75">
      <c r="A61" s="110"/>
    </row>
    <row r="62" ht="18.75">
      <c r="A62" s="110"/>
    </row>
    <row r="63" ht="18.75">
      <c r="A63" s="110"/>
    </row>
    <row r="64" ht="18.75">
      <c r="A64" s="110"/>
    </row>
    <row r="65" ht="18.75">
      <c r="A65" s="110"/>
    </row>
    <row r="66" ht="18.75">
      <c r="A66" s="110"/>
    </row>
    <row r="67" ht="18.75">
      <c r="A67" s="110"/>
    </row>
    <row r="68" ht="18.75">
      <c r="A68" s="110"/>
    </row>
    <row r="69" ht="18.75">
      <c r="A69" s="110"/>
    </row>
    <row r="70" ht="18.75">
      <c r="A70" s="110"/>
    </row>
    <row r="71" ht="18.75">
      <c r="A71" s="110"/>
    </row>
    <row r="72" ht="18.75">
      <c r="A72" s="110"/>
    </row>
    <row r="73" ht="18.75">
      <c r="A73" s="110"/>
    </row>
    <row r="74" ht="18.75">
      <c r="A74" s="110"/>
    </row>
    <row r="75" ht="18.75">
      <c r="A75" s="110"/>
    </row>
    <row r="76" ht="18.75">
      <c r="A76" s="110"/>
    </row>
    <row r="77" ht="18.75">
      <c r="A77" s="110"/>
    </row>
    <row r="78" ht="18.75">
      <c r="A78" s="110"/>
    </row>
    <row r="79" ht="18.75">
      <c r="A79" s="110"/>
    </row>
    <row r="80" ht="18.75">
      <c r="A80" s="110"/>
    </row>
    <row r="81" ht="18.75">
      <c r="A81" s="110"/>
    </row>
    <row r="82" ht="18.75">
      <c r="A82" s="110"/>
    </row>
    <row r="83" ht="18.75">
      <c r="A83" s="110"/>
    </row>
    <row r="84" ht="18.75">
      <c r="A84" s="110"/>
    </row>
    <row r="85" ht="18.75">
      <c r="A85" s="110"/>
    </row>
    <row r="86" ht="18.75">
      <c r="A86" s="110"/>
    </row>
    <row r="87" ht="18.75">
      <c r="A87" s="110"/>
    </row>
    <row r="88" ht="18.75">
      <c r="A88" s="110"/>
    </row>
    <row r="89" ht="18.75">
      <c r="A89" s="110"/>
    </row>
    <row r="90" ht="18.75">
      <c r="A90" s="110"/>
    </row>
    <row r="91" ht="18.75">
      <c r="A91" s="110"/>
    </row>
    <row r="92" ht="18.75">
      <c r="A92" s="110"/>
    </row>
    <row r="93" ht="18.75">
      <c r="A93" s="110"/>
    </row>
    <row r="94" ht="18.75">
      <c r="A94" s="110"/>
    </row>
    <row r="95" ht="18.75">
      <c r="A95" s="110"/>
    </row>
    <row r="96" ht="18.75">
      <c r="A96" s="110"/>
    </row>
    <row r="97" ht="18.75">
      <c r="A97" s="110"/>
    </row>
    <row r="98" ht="18.75">
      <c r="A98" s="110"/>
    </row>
    <row r="99" ht="18.75">
      <c r="A99" s="110"/>
    </row>
    <row r="100" ht="18.75">
      <c r="A100" s="110"/>
    </row>
    <row r="101" ht="18.75">
      <c r="A101" s="110"/>
    </row>
    <row r="102" ht="18.75">
      <c r="A102" s="110"/>
    </row>
    <row r="103" ht="18.75">
      <c r="A103" s="110"/>
    </row>
    <row r="104" ht="18.75">
      <c r="A104" s="110"/>
    </row>
    <row r="105" ht="18.75">
      <c r="A105" s="110"/>
    </row>
    <row r="106" ht="18.75">
      <c r="A106" s="110"/>
    </row>
    <row r="107" ht="18.75">
      <c r="A107" s="110"/>
    </row>
    <row r="108" ht="18.75">
      <c r="A108" s="110"/>
    </row>
    <row r="109" ht="18.75">
      <c r="A109" s="110"/>
    </row>
    <row r="110" ht="18.75">
      <c r="A110" s="110"/>
    </row>
    <row r="111" ht="18.75">
      <c r="A111" s="110"/>
    </row>
    <row r="112" ht="18.75">
      <c r="A112" s="110"/>
    </row>
    <row r="113" ht="18.75">
      <c r="A113" s="110"/>
    </row>
    <row r="114" ht="18.75">
      <c r="A114" s="110"/>
    </row>
    <row r="115" ht="18.75">
      <c r="A115" s="110"/>
    </row>
    <row r="116" ht="18.75">
      <c r="A116" s="110"/>
    </row>
    <row r="117" ht="18.75">
      <c r="A117" s="110"/>
    </row>
    <row r="118" ht="18.75">
      <c r="A118" s="110"/>
    </row>
    <row r="119" ht="18.75">
      <c r="A119" s="110"/>
    </row>
    <row r="120" ht="18.75">
      <c r="A120" s="110"/>
    </row>
    <row r="121" ht="18.75">
      <c r="A121" s="110"/>
    </row>
    <row r="122" ht="18.75">
      <c r="A122" s="110"/>
    </row>
    <row r="123" ht="18.75">
      <c r="A123" s="110"/>
    </row>
    <row r="124" ht="18.75">
      <c r="A124" s="110"/>
    </row>
    <row r="125" ht="18.75">
      <c r="A125" s="110"/>
    </row>
    <row r="126" ht="18.75">
      <c r="A126" s="110"/>
    </row>
    <row r="127" ht="18.75">
      <c r="A127" s="110"/>
    </row>
    <row r="128" ht="18.75">
      <c r="A128" s="110"/>
    </row>
    <row r="129" ht="18.75">
      <c r="A129" s="110"/>
    </row>
    <row r="130" ht="18.75">
      <c r="A130" s="110"/>
    </row>
    <row r="131" ht="18.75">
      <c r="A131" s="110"/>
    </row>
    <row r="132" ht="18.75">
      <c r="A132" s="110"/>
    </row>
    <row r="133" ht="18.75">
      <c r="A133" s="110"/>
    </row>
    <row r="134" ht="18.75">
      <c r="A134" s="110"/>
    </row>
    <row r="135" ht="18.75">
      <c r="A135" s="110"/>
    </row>
    <row r="136" ht="18.75">
      <c r="A136" s="110"/>
    </row>
    <row r="137" ht="18.75">
      <c r="A137" s="110"/>
    </row>
    <row r="138" ht="18.75">
      <c r="A138" s="110"/>
    </row>
    <row r="139" ht="18.75">
      <c r="A139" s="110"/>
    </row>
    <row r="140" ht="18.75">
      <c r="A140" s="110"/>
    </row>
    <row r="141" ht="18.75">
      <c r="A141" s="110"/>
    </row>
    <row r="142" ht="18.75">
      <c r="A142" s="110"/>
    </row>
    <row r="143" ht="18.75">
      <c r="A143" s="110"/>
    </row>
    <row r="144" ht="18.75">
      <c r="A144" s="110"/>
    </row>
    <row r="145" ht="18.75">
      <c r="A145" s="110"/>
    </row>
    <row r="146" ht="18.75">
      <c r="A146" s="110"/>
    </row>
    <row r="147" ht="18.75">
      <c r="A147" s="110"/>
    </row>
    <row r="148" ht="18.75">
      <c r="A148" s="110"/>
    </row>
    <row r="149" ht="18.75">
      <c r="A149" s="110"/>
    </row>
    <row r="150" ht="18.75">
      <c r="A150" s="110"/>
    </row>
    <row r="151" ht="18.75">
      <c r="A151" s="110"/>
    </row>
    <row r="152" ht="18.75">
      <c r="A152" s="110"/>
    </row>
    <row r="153" ht="18.75">
      <c r="A153" s="110"/>
    </row>
    <row r="154" ht="18.75">
      <c r="A154" s="110"/>
    </row>
    <row r="155" ht="18.75">
      <c r="A155" s="110"/>
    </row>
    <row r="156" ht="18.75">
      <c r="A156" s="110"/>
    </row>
    <row r="157" ht="18.75">
      <c r="A157" s="110"/>
    </row>
    <row r="158" ht="18.75">
      <c r="A158" s="110"/>
    </row>
    <row r="159" ht="18.75">
      <c r="A159" s="110"/>
    </row>
    <row r="160" ht="18.75">
      <c r="A160" s="110"/>
    </row>
    <row r="161" ht="18.75">
      <c r="A161" s="110"/>
    </row>
    <row r="162" ht="18.75">
      <c r="A162" s="110"/>
    </row>
    <row r="163" ht="18.75">
      <c r="A163" s="110"/>
    </row>
    <row r="164" ht="18.75">
      <c r="A164" s="110"/>
    </row>
    <row r="165" ht="18.75">
      <c r="A165" s="110"/>
    </row>
    <row r="166" ht="18.75">
      <c r="A166" s="110"/>
    </row>
    <row r="167" ht="18.75">
      <c r="A167" s="110"/>
    </row>
    <row r="168" ht="18.75">
      <c r="A168" s="110"/>
    </row>
    <row r="169" ht="18.75">
      <c r="A169" s="110"/>
    </row>
    <row r="170" ht="18.75">
      <c r="A170" s="110"/>
    </row>
    <row r="171" ht="18.75">
      <c r="A171" s="110"/>
    </row>
    <row r="172" ht="18.75">
      <c r="A172" s="110"/>
    </row>
    <row r="173" ht="18.75">
      <c r="A173" s="110"/>
    </row>
    <row r="174" ht="18.75">
      <c r="A174" s="110"/>
    </row>
    <row r="175" ht="18.75">
      <c r="A175" s="110"/>
    </row>
    <row r="176" ht="18.75">
      <c r="A176" s="110"/>
    </row>
    <row r="177" ht="18.75">
      <c r="A177" s="110"/>
    </row>
    <row r="178" ht="18.75">
      <c r="A178" s="110"/>
    </row>
    <row r="179" ht="18.75">
      <c r="A179" s="110"/>
    </row>
    <row r="180" ht="18.75">
      <c r="A180" s="110"/>
    </row>
    <row r="181" ht="18.75">
      <c r="A181" s="110"/>
    </row>
    <row r="182" ht="18.75">
      <c r="A182" s="110"/>
    </row>
    <row r="183" ht="18.75">
      <c r="A183" s="110"/>
    </row>
  </sheetData>
  <sheetProtection/>
  <mergeCells count="10">
    <mergeCell ref="C17:D17"/>
    <mergeCell ref="F17:H17"/>
    <mergeCell ref="A3:A4"/>
    <mergeCell ref="B3:B4"/>
    <mergeCell ref="A1:H1"/>
    <mergeCell ref="A2:H2"/>
    <mergeCell ref="C3:D3"/>
    <mergeCell ref="E3:H3"/>
    <mergeCell ref="C16:D16"/>
    <mergeCell ref="F16:H16"/>
  </mergeCells>
  <printOptions/>
  <pageMargins left="1.18055555555556" right="0.39305555555555605" top="0.786805555555556" bottom="0.786805555555556" header="0.275" footer="0.313888888888889"/>
  <pageSetup firstPageNumber="9" useFirstPageNumber="1" horizontalDpi="600" verticalDpi="600" orientation="landscape" paperSize="9" scale="54" r:id="rId1"/>
  <headerFooter alignWithMargins="0">
    <oddHeader>&amp;C
&amp;"Times New Roman,обычный"&amp;14 11&amp;R&amp;"Times New Roman,обычный"&amp;14Продовження додатка 3
Таблиця 4  
</oddHeader>
  </headerFooter>
  <ignoredErrors>
    <ignoredError sqref="H6:H12" evalError="1"/>
    <ignoredError sqref="B7" numberStoredAsText="1"/>
  </ignoredErrors>
</worksheet>
</file>

<file path=xl/worksheets/sheet6.xml><?xml version="1.0" encoding="utf-8"?>
<worksheet xmlns="http://schemas.openxmlformats.org/spreadsheetml/2006/main" xmlns:r="http://schemas.openxmlformats.org/officeDocument/2006/relationships">
  <sheetPr>
    <tabColor indexed="43"/>
  </sheetPr>
  <dimension ref="A1:K28"/>
  <sheetViews>
    <sheetView zoomScale="75" zoomScaleNormal="75" zoomScaleSheetLayoutView="100" zoomScalePageLayoutView="0" workbookViewId="0" topLeftCell="A1">
      <pane xSplit="1" ySplit="5" topLeftCell="B24" activePane="bottomRight" state="frozen"/>
      <selection pane="topLeft" activeCell="A1" sqref="A1"/>
      <selection pane="topRight" activeCell="A1" sqref="A1"/>
      <selection pane="bottomLeft" activeCell="A1" sqref="A1"/>
      <selection pane="bottomRight" activeCell="E27" sqref="E27"/>
    </sheetView>
  </sheetViews>
  <sheetFormatPr defaultColWidth="9.00390625" defaultRowHeight="12.75"/>
  <cols>
    <col min="1" max="1" width="95.00390625" style="89" customWidth="1"/>
    <col min="2" max="2" width="19.375" style="89" customWidth="1"/>
    <col min="3" max="7" width="26.00390625" style="89" customWidth="1"/>
    <col min="8" max="8" width="81.625" style="89" customWidth="1"/>
    <col min="9" max="9" width="9.625" style="89" customWidth="1"/>
    <col min="10" max="10" width="9.125" style="89" customWidth="1"/>
    <col min="11" max="11" width="27.125" style="89" customWidth="1"/>
    <col min="12" max="12" width="9.125" style="89" bestFit="1" customWidth="1"/>
    <col min="13" max="16384" width="9.125" style="89" customWidth="1"/>
  </cols>
  <sheetData>
    <row r="1" spans="1:8" ht="19.5" customHeight="1">
      <c r="A1" s="367" t="s">
        <v>524</v>
      </c>
      <c r="B1" s="367"/>
      <c r="C1" s="367"/>
      <c r="D1" s="367"/>
      <c r="E1" s="367"/>
      <c r="F1" s="367"/>
      <c r="G1" s="367"/>
      <c r="H1" s="367"/>
    </row>
    <row r="2" ht="16.5" customHeight="1"/>
    <row r="3" spans="1:8" ht="49.5" customHeight="1">
      <c r="A3" s="368" t="s">
        <v>38</v>
      </c>
      <c r="B3" s="368" t="s">
        <v>280</v>
      </c>
      <c r="C3" s="368" t="s">
        <v>331</v>
      </c>
      <c r="D3" s="326" t="s">
        <v>40</v>
      </c>
      <c r="E3" s="326"/>
      <c r="F3" s="326" t="s">
        <v>41</v>
      </c>
      <c r="G3" s="326"/>
      <c r="H3" s="368" t="s">
        <v>332</v>
      </c>
    </row>
    <row r="4" spans="1:8" ht="63" customHeight="1">
      <c r="A4" s="369"/>
      <c r="B4" s="369"/>
      <c r="C4" s="369"/>
      <c r="D4" s="13" t="s">
        <v>42</v>
      </c>
      <c r="E4" s="13" t="s">
        <v>43</v>
      </c>
      <c r="F4" s="13" t="s">
        <v>42</v>
      </c>
      <c r="G4" s="13" t="s">
        <v>43</v>
      </c>
      <c r="H4" s="369"/>
    </row>
    <row r="5" spans="1:8" s="88" customFormat="1" ht="29.25" customHeight="1">
      <c r="A5" s="90">
        <v>1</v>
      </c>
      <c r="B5" s="90">
        <v>2</v>
      </c>
      <c r="C5" s="90">
        <v>3</v>
      </c>
      <c r="D5" s="90">
        <v>4</v>
      </c>
      <c r="E5" s="90">
        <v>5</v>
      </c>
      <c r="F5" s="90">
        <v>6</v>
      </c>
      <c r="G5" s="90">
        <v>7</v>
      </c>
      <c r="H5" s="90">
        <v>8</v>
      </c>
    </row>
    <row r="6" spans="1:8" s="88" customFormat="1" ht="24.75" customHeight="1">
      <c r="A6" s="91" t="s">
        <v>333</v>
      </c>
      <c r="B6" s="91"/>
      <c r="C6" s="90"/>
      <c r="D6" s="90"/>
      <c r="E6" s="90"/>
      <c r="F6" s="90"/>
      <c r="G6" s="90"/>
      <c r="H6" s="90"/>
    </row>
    <row r="7" spans="1:8" ht="56.25">
      <c r="A7" s="85" t="s">
        <v>334</v>
      </c>
      <c r="B7" s="13">
        <v>5000</v>
      </c>
      <c r="C7" s="92" t="s">
        <v>335</v>
      </c>
      <c r="D7" s="93">
        <f>('Осн. фін. пок.'!C32/'Осн. фін. пок.'!C30)*100</f>
        <v>27.72415812055732</v>
      </c>
      <c r="E7" s="93">
        <f>('Осн. фін. пок.'!D32/'Осн. фін. пок.'!D30)*100</f>
        <v>7.4677161685415845</v>
      </c>
      <c r="F7" s="93">
        <f>('Осн. фін. пок.'!E32/'Осн. фін. пок.'!E30)*100</f>
        <v>16.535433070866144</v>
      </c>
      <c r="G7" s="93">
        <f>('Осн. фін. пок.'!F32/'Осн. фін. пок.'!F30)*100</f>
        <v>-7.548794955552306</v>
      </c>
      <c r="H7" s="94"/>
    </row>
    <row r="8" spans="1:8" ht="56.25">
      <c r="A8" s="85" t="s">
        <v>336</v>
      </c>
      <c r="B8" s="13">
        <v>5010</v>
      </c>
      <c r="C8" s="92" t="s">
        <v>335</v>
      </c>
      <c r="D8" s="93" t="e">
        <f>('Осн. фін. пок.'!C47/'Осн. фін. пок.'!C30)*100</f>
        <v>#VALUE!</v>
      </c>
      <c r="E8" s="93" t="e">
        <f>('Осн. фін. пок.'!D47/'Осн. фін. пок.'!D30)*100</f>
        <v>#VALUE!</v>
      </c>
      <c r="F8" s="93" t="e">
        <f>('Осн. фін. пок.'!E47/'Осн. фін. пок.'!E30)*100</f>
        <v>#VALUE!</v>
      </c>
      <c r="G8" s="93" t="e">
        <f>('Осн. фін. пок.'!F47/'Осн. фін. пок.'!F30)*100</f>
        <v>#VALUE!</v>
      </c>
      <c r="H8" s="94"/>
    </row>
    <row r="9" spans="1:8" ht="42.75" customHeight="1">
      <c r="A9" s="95" t="s">
        <v>337</v>
      </c>
      <c r="B9" s="13">
        <v>5020</v>
      </c>
      <c r="C9" s="92" t="s">
        <v>335</v>
      </c>
      <c r="D9" s="93">
        <f>('Осн. фін. пок.'!C62/'Осн. фін. пок.'!C138)*100</f>
        <v>23.173561087302314</v>
      </c>
      <c r="E9" s="93">
        <f>('Осн. фін. пок.'!D62/'Осн. фін. пок.'!D138)*100</f>
        <v>-2.646928775204863</v>
      </c>
      <c r="F9" s="93" t="e">
        <f>('Осн. фін. пок.'!E62/'Осн. фін. пок.'!E138)*100</f>
        <v>#DIV/0!</v>
      </c>
      <c r="G9" s="93" t="e">
        <f>('Осн. фін. пок.'!F62/'Осн. фін. пок.'!F138)*100</f>
        <v>#VALUE!</v>
      </c>
      <c r="H9" s="94" t="s">
        <v>338</v>
      </c>
    </row>
    <row r="10" spans="1:8" ht="42.75" customHeight="1">
      <c r="A10" s="95" t="s">
        <v>339</v>
      </c>
      <c r="B10" s="13">
        <v>5030</v>
      </c>
      <c r="C10" s="92" t="s">
        <v>335</v>
      </c>
      <c r="D10" s="93">
        <f>('Осн. фін. пок.'!C62/'Осн. фін. пок.'!C144)*100</f>
        <v>24.546322827125124</v>
      </c>
      <c r="E10" s="93">
        <f>('Осн. фін. пок.'!D62/'Осн. фін. пок.'!D144)*100</f>
        <v>-3.0701353810269656</v>
      </c>
      <c r="F10" s="93" t="e">
        <f>('Осн. фін. пок.'!E62/'Осн. фін. пок.'!E144)*100</f>
        <v>#DIV/0!</v>
      </c>
      <c r="G10" s="93" t="e">
        <f>('Осн. фін. пок.'!F62/'Осн. фін. пок.'!F144)*100</f>
        <v>#VALUE!</v>
      </c>
      <c r="H10" s="94"/>
    </row>
    <row r="11" spans="1:8" ht="56.25">
      <c r="A11" s="95" t="s">
        <v>340</v>
      </c>
      <c r="B11" s="13">
        <v>5040</v>
      </c>
      <c r="C11" s="92" t="s">
        <v>335</v>
      </c>
      <c r="D11" s="93">
        <f>('Осн. фін. пок.'!C62/'Осн. фін. пок.'!C30)*100</f>
        <v>20.92508393636389</v>
      </c>
      <c r="E11" s="93">
        <f>('Осн. фін. пок.'!D62/'Осн. фін. пок.'!D30)*100</f>
        <v>-3.6360913266324735</v>
      </c>
      <c r="F11" s="93">
        <f>('Осн. фін. пок.'!E62/'Осн. фін. пок.'!E30)*100</f>
        <v>0</v>
      </c>
      <c r="G11" s="93">
        <f>('Осн. фін. пок.'!F62/'Осн. фін. пок.'!F30)*100</f>
        <v>-24.521801309866248</v>
      </c>
      <c r="H11" s="94" t="s">
        <v>341</v>
      </c>
    </row>
    <row r="12" spans="1:8" ht="24.75" customHeight="1">
      <c r="A12" s="91" t="s">
        <v>342</v>
      </c>
      <c r="B12" s="13"/>
      <c r="C12" s="96"/>
      <c r="D12" s="97"/>
      <c r="E12" s="97"/>
      <c r="F12" s="97"/>
      <c r="G12" s="97"/>
      <c r="H12" s="94"/>
    </row>
    <row r="13" spans="1:8" ht="56.25">
      <c r="A13" s="94" t="s">
        <v>343</v>
      </c>
      <c r="B13" s="13">
        <v>5100</v>
      </c>
      <c r="C13" s="92"/>
      <c r="D13" s="93" t="e">
        <f>('Осн. фін. пок.'!C139+'Осн. фін. пок.'!C140)/'Осн. фін. пок.'!C47</f>
        <v>#VALUE!</v>
      </c>
      <c r="E13" s="93" t="e">
        <f>('Осн. фін. пок.'!D139+'Осн. фін. пок.'!D140)/'Осн. фін. пок.'!D47</f>
        <v>#VALUE!</v>
      </c>
      <c r="F13" s="93" t="e">
        <f>('Осн. фін. пок.'!E139+'Осн. фін. пок.'!E140)/'Осн. фін. пок.'!E47</f>
        <v>#VALUE!</v>
      </c>
      <c r="G13" s="93" t="e">
        <f>('Осн. фін. пок.'!F139+'Осн. фін. пок.'!F140)/'Осн. фін. пок.'!F47</f>
        <v>#VALUE!</v>
      </c>
      <c r="H13" s="94"/>
    </row>
    <row r="14" spans="1:8" s="88" customFormat="1" ht="56.25">
      <c r="A14" s="94" t="s">
        <v>344</v>
      </c>
      <c r="B14" s="13">
        <v>5110</v>
      </c>
      <c r="C14" s="92" t="s">
        <v>345</v>
      </c>
      <c r="D14" s="93">
        <f>'Осн. фін. пок.'!C144/('Осн. фін. пок.'!C139+'Осн. фін. пок.'!C140)</f>
        <v>16.85959833544418</v>
      </c>
      <c r="E14" s="93">
        <f>'Осн. фін. пок.'!D144/('Осн. фін. пок.'!D139+'Осн. фін. пок.'!D140)</f>
        <v>6.254459970120398</v>
      </c>
      <c r="F14" s="93" t="e">
        <f>'Осн. фін. пок.'!E144/('Осн. фін. пок.'!E139+'Осн. фін. пок.'!E140)</f>
        <v>#DIV/0!</v>
      </c>
      <c r="G14" s="93" t="e">
        <f>'Осн. фін. пок.'!F144/('Осн. фін. пок.'!F139+'Осн. фін. пок.'!F140)</f>
        <v>#VALUE!</v>
      </c>
      <c r="H14" s="94" t="s">
        <v>346</v>
      </c>
    </row>
    <row r="15" spans="1:8" s="88" customFormat="1" ht="56.25">
      <c r="A15" s="94" t="s">
        <v>347</v>
      </c>
      <c r="B15" s="13">
        <v>5120</v>
      </c>
      <c r="C15" s="92" t="s">
        <v>345</v>
      </c>
      <c r="D15" s="93">
        <f>'Осн. фін. пок.'!C136/'Осн. фін. пок.'!C140</f>
        <v>11944.714285714286</v>
      </c>
      <c r="E15" s="93">
        <f>'Осн. фін. пок.'!D136/'Осн. фін. пок.'!D140</f>
        <v>53.785097192224626</v>
      </c>
      <c r="F15" s="93" t="e">
        <f>'Осн. фін. пок.'!E136/'Осн. фін. пок.'!E140</f>
        <v>#DIV/0!</v>
      </c>
      <c r="G15" s="93" t="e">
        <f>'Осн. фін. пок.'!F136/'Осн. фін. пок.'!F140</f>
        <v>#VALUE!</v>
      </c>
      <c r="H15" s="94" t="s">
        <v>348</v>
      </c>
    </row>
    <row r="16" spans="1:8" ht="24.75" customHeight="1">
      <c r="A16" s="91" t="s">
        <v>349</v>
      </c>
      <c r="B16" s="13"/>
      <c r="C16" s="92"/>
      <c r="D16" s="97"/>
      <c r="E16" s="97"/>
      <c r="F16" s="97"/>
      <c r="G16" s="97"/>
      <c r="H16" s="94"/>
    </row>
    <row r="17" spans="1:8" ht="42.75" customHeight="1">
      <c r="A17" s="94" t="s">
        <v>350</v>
      </c>
      <c r="B17" s="13">
        <v>5200</v>
      </c>
      <c r="C17" s="92"/>
      <c r="D17" s="93">
        <f>'Осн. фін. пок.'!C113/'Осн. фін. пок.'!C74</f>
        <v>1.8424454148471618</v>
      </c>
      <c r="E17" s="93">
        <f>'Осн. фін. пок.'!D113/'Осн. фін. пок.'!D74</f>
        <v>0.7576904874585897</v>
      </c>
      <c r="F17" s="93">
        <f>'Осн. фін. пок.'!E113/'Осн. фін. пок.'!E74</f>
        <v>0.2564102564102564</v>
      </c>
      <c r="G17" s="93">
        <f>'Осн. фін. пок.'!F113/'Осн. фін. пок.'!F74</f>
        <v>0.9633684210526317</v>
      </c>
      <c r="H17" s="94"/>
    </row>
    <row r="18" spans="1:8" ht="75">
      <c r="A18" s="94" t="s">
        <v>351</v>
      </c>
      <c r="B18" s="13">
        <v>5210</v>
      </c>
      <c r="C18" s="92"/>
      <c r="D18" s="93">
        <f>'Осн. фін. пок.'!C113/'Осн. фін. пок.'!C30</f>
        <v>0.09649708624175504</v>
      </c>
      <c r="E18" s="93">
        <f>'Осн. фін. пок.'!D113/'Осн. фін. пок.'!D30</f>
        <v>0.039963722292484856</v>
      </c>
      <c r="F18" s="93">
        <f>'Осн. фін. пок.'!E113/'Осн. фін. пок.'!E30</f>
        <v>0.015748031496062992</v>
      </c>
      <c r="G18" s="93">
        <f>'Осн. фін. пок.'!F113/'Осн. фін. пок.'!F30</f>
        <v>0.07436660003575317</v>
      </c>
      <c r="H18" s="94"/>
    </row>
    <row r="19" spans="1:8" ht="37.5">
      <c r="A19" s="94" t="s">
        <v>352</v>
      </c>
      <c r="B19" s="13">
        <v>5220</v>
      </c>
      <c r="C19" s="92" t="s">
        <v>353</v>
      </c>
      <c r="D19" s="93">
        <f>'Осн. фін. пок.'!C135/'Осн. фін. пок.'!C134</f>
        <v>0.5130058736203447</v>
      </c>
      <c r="E19" s="93">
        <f>'Осн. фін. пок.'!D135/'Осн. фін. пок.'!D134</f>
        <v>0.5344731489457188</v>
      </c>
      <c r="F19" s="93" t="e">
        <f>'Осн. фін. пок.'!E135/'Осн. фін. пок.'!E134</f>
        <v>#DIV/0!</v>
      </c>
      <c r="G19" s="93" t="e">
        <f>'Осн. фін. пок.'!F135/'Осн. фін. пок.'!F134</f>
        <v>#VALUE!</v>
      </c>
      <c r="H19" s="94" t="s">
        <v>354</v>
      </c>
    </row>
    <row r="20" spans="1:8" ht="24.75" customHeight="1">
      <c r="A20" s="91" t="s">
        <v>355</v>
      </c>
      <c r="B20" s="13"/>
      <c r="C20" s="92"/>
      <c r="D20" s="97"/>
      <c r="E20" s="97"/>
      <c r="F20" s="97"/>
      <c r="G20" s="97"/>
      <c r="H20" s="94"/>
    </row>
    <row r="21" spans="1:8" ht="75">
      <c r="A21" s="95" t="s">
        <v>356</v>
      </c>
      <c r="B21" s="13">
        <v>5300</v>
      </c>
      <c r="C21" s="92"/>
      <c r="D21" s="97"/>
      <c r="E21" s="97"/>
      <c r="F21" s="97"/>
      <c r="G21" s="97"/>
      <c r="H21" s="98"/>
    </row>
    <row r="26" ht="20.25">
      <c r="K26" s="102"/>
    </row>
    <row r="27" spans="1:8" s="57" customFormat="1" ht="27.75" customHeight="1">
      <c r="A27" s="99" t="s">
        <v>193</v>
      </c>
      <c r="B27" s="16"/>
      <c r="C27" s="349" t="s">
        <v>330</v>
      </c>
      <c r="D27" s="349"/>
      <c r="E27" s="100" t="s">
        <v>529</v>
      </c>
      <c r="F27" s="343"/>
      <c r="G27" s="343"/>
      <c r="H27" s="343"/>
    </row>
    <row r="28" spans="1:8" s="6" customFormat="1" ht="18.75">
      <c r="A28" s="101" t="s">
        <v>195</v>
      </c>
      <c r="B28" s="57"/>
      <c r="C28" s="343" t="s">
        <v>196</v>
      </c>
      <c r="D28" s="343"/>
      <c r="E28" s="57"/>
      <c r="F28" s="344"/>
      <c r="G28" s="344"/>
      <c r="H28" s="344"/>
    </row>
  </sheetData>
  <sheetProtection/>
  <mergeCells count="11">
    <mergeCell ref="H3:H4"/>
    <mergeCell ref="A1:H1"/>
    <mergeCell ref="D3:E3"/>
    <mergeCell ref="F3:G3"/>
    <mergeCell ref="C27:D27"/>
    <mergeCell ref="F27:H27"/>
    <mergeCell ref="C28:D28"/>
    <mergeCell ref="F28:H28"/>
    <mergeCell ref="A3:A4"/>
    <mergeCell ref="B3:B4"/>
    <mergeCell ref="C3:C4"/>
  </mergeCells>
  <printOptions/>
  <pageMargins left="0.786805555555556" right="0" top="0.786805555555556" bottom="0.39305555555555605" header="0.511805555555556" footer="0.313888888888889"/>
  <pageSetup horizontalDpi="600" verticalDpi="600" orientation="landscape" paperSize="9" scale="42" r:id="rId1"/>
  <headerFooter alignWithMargins="0">
    <oddHeader>&amp;C&amp;"Times New Roman,обычный"&amp;14
&amp;18 &amp;14 12&amp;R
&amp;"Times New Roman,обычный"&amp;14Продовження додатка 3
Таблиця  5</oddHeader>
  </headerFooter>
  <ignoredErrors>
    <ignoredError sqref="D7:E7 D19:G19 D9:G9 D10:G10 D11:E11 D13:G13 D14:G14 D15:G15 F11:G11 D8:F8 G7:G8 F7 D18:E18 F17:F18 D17:E17 G17:G18" evalError="1"/>
  </ignoredErrors>
</worksheet>
</file>

<file path=xl/worksheets/sheet7.xml><?xml version="1.0" encoding="utf-8"?>
<worksheet xmlns="http://schemas.openxmlformats.org/spreadsheetml/2006/main" xmlns:r="http://schemas.openxmlformats.org/officeDocument/2006/relationships">
  <sheetPr>
    <tabColor indexed="43"/>
  </sheetPr>
  <dimension ref="A1:O89"/>
  <sheetViews>
    <sheetView view="pageBreakPreview" zoomScale="80" zoomScaleNormal="75" zoomScaleSheetLayoutView="80" zoomScalePageLayoutView="0" workbookViewId="0" topLeftCell="A1">
      <selection activeCell="L18" sqref="L18:M18"/>
    </sheetView>
  </sheetViews>
  <sheetFormatPr defaultColWidth="9.00390625" defaultRowHeight="12.75"/>
  <cols>
    <col min="1" max="1" width="44.875" style="6" customWidth="1"/>
    <col min="2" max="2" width="23.625" style="58" customWidth="1"/>
    <col min="3" max="3" width="18.625" style="6" customWidth="1"/>
    <col min="4" max="4" width="16.75390625" style="6" customWidth="1"/>
    <col min="5" max="5" width="13.25390625" style="6" customWidth="1"/>
    <col min="6" max="6" width="16.625" style="6" customWidth="1"/>
    <col min="7" max="7" width="15.25390625" style="6" customWidth="1"/>
    <col min="8" max="8" width="12.75390625" style="6" customWidth="1"/>
    <col min="9" max="9" width="16.125" style="6" customWidth="1"/>
    <col min="10" max="10" width="16.375" style="6" customWidth="1"/>
    <col min="11" max="11" width="16.625" style="6" customWidth="1"/>
    <col min="12" max="12" width="16.875" style="6" customWidth="1"/>
    <col min="13" max="15" width="16.75390625" style="6" customWidth="1"/>
    <col min="16" max="16" width="9.125" style="6" bestFit="1" customWidth="1"/>
    <col min="17" max="16384" width="9.125" style="6" customWidth="1"/>
  </cols>
  <sheetData>
    <row r="1" spans="1:15" ht="18.75">
      <c r="A1" s="370" t="s">
        <v>357</v>
      </c>
      <c r="B1" s="370"/>
      <c r="C1" s="370"/>
      <c r="D1" s="370"/>
      <c r="E1" s="370"/>
      <c r="F1" s="370"/>
      <c r="G1" s="370"/>
      <c r="H1" s="370"/>
      <c r="I1" s="370"/>
      <c r="J1" s="370"/>
      <c r="K1" s="370"/>
      <c r="L1" s="370"/>
      <c r="M1" s="370"/>
      <c r="N1" s="370"/>
      <c r="O1" s="370"/>
    </row>
    <row r="2" spans="1:15" ht="18.75">
      <c r="A2" s="370" t="s">
        <v>525</v>
      </c>
      <c r="B2" s="370"/>
      <c r="C2" s="370"/>
      <c r="D2" s="370"/>
      <c r="E2" s="370"/>
      <c r="F2" s="370"/>
      <c r="G2" s="370"/>
      <c r="H2" s="370"/>
      <c r="I2" s="370"/>
      <c r="J2" s="370"/>
      <c r="K2" s="370"/>
      <c r="L2" s="370"/>
      <c r="M2" s="370"/>
      <c r="N2" s="370"/>
      <c r="O2" s="370"/>
    </row>
    <row r="3" spans="1:15" ht="18.75">
      <c r="A3" s="343" t="s">
        <v>358</v>
      </c>
      <c r="B3" s="343"/>
      <c r="C3" s="343"/>
      <c r="D3" s="343"/>
      <c r="E3" s="343"/>
      <c r="F3" s="343"/>
      <c r="G3" s="343"/>
      <c r="H3" s="343"/>
      <c r="I3" s="343"/>
      <c r="J3" s="343"/>
      <c r="K3" s="343"/>
      <c r="L3" s="343"/>
      <c r="M3" s="343"/>
      <c r="N3" s="343"/>
      <c r="O3" s="343"/>
    </row>
    <row r="4" spans="1:15" ht="18.75">
      <c r="A4" s="371" t="s">
        <v>359</v>
      </c>
      <c r="B4" s="371"/>
      <c r="C4" s="371"/>
      <c r="D4" s="371"/>
      <c r="E4" s="371"/>
      <c r="F4" s="371"/>
      <c r="G4" s="371"/>
      <c r="H4" s="371"/>
      <c r="I4" s="371"/>
      <c r="J4" s="371"/>
      <c r="K4" s="371"/>
      <c r="L4" s="371"/>
      <c r="M4" s="371"/>
      <c r="N4" s="371"/>
      <c r="O4" s="371"/>
    </row>
    <row r="5" spans="1:15" ht="24.75" customHeight="1">
      <c r="A5" s="372" t="s">
        <v>360</v>
      </c>
      <c r="B5" s="372"/>
      <c r="C5" s="372"/>
      <c r="D5" s="372"/>
      <c r="E5" s="372"/>
      <c r="F5" s="372"/>
      <c r="G5" s="372"/>
      <c r="H5" s="372"/>
      <c r="I5" s="372"/>
      <c r="J5" s="372"/>
      <c r="K5" s="372"/>
      <c r="L5" s="372"/>
      <c r="M5" s="372"/>
      <c r="N5" s="372"/>
      <c r="O5" s="372"/>
    </row>
    <row r="6" spans="1:15" ht="9" customHeight="1">
      <c r="A6" s="59"/>
      <c r="B6" s="59"/>
      <c r="C6" s="59"/>
      <c r="D6" s="59"/>
      <c r="E6" s="59"/>
      <c r="F6" s="59"/>
      <c r="G6" s="59"/>
      <c r="H6" s="59"/>
      <c r="I6" s="59"/>
      <c r="J6" s="59"/>
      <c r="K6" s="59"/>
      <c r="L6" s="59"/>
      <c r="M6" s="59"/>
      <c r="N6" s="59"/>
      <c r="O6" s="59"/>
    </row>
    <row r="7" spans="1:15" ht="18.75">
      <c r="A7" s="373" t="s">
        <v>361</v>
      </c>
      <c r="B7" s="373"/>
      <c r="C7" s="373"/>
      <c r="D7" s="373"/>
      <c r="E7" s="373"/>
      <c r="F7" s="373"/>
      <c r="G7" s="373"/>
      <c r="H7" s="373"/>
      <c r="I7" s="373"/>
      <c r="J7" s="373"/>
      <c r="K7" s="373"/>
      <c r="L7" s="373"/>
      <c r="M7" s="373"/>
      <c r="N7" s="373"/>
      <c r="O7" s="373"/>
    </row>
    <row r="8" ht="12.75" customHeight="1">
      <c r="B8" s="6"/>
    </row>
    <row r="9" spans="1:15" s="57" customFormat="1" ht="53.25" customHeight="1">
      <c r="A9" s="326" t="s">
        <v>38</v>
      </c>
      <c r="B9" s="326"/>
      <c r="C9" s="374" t="s">
        <v>362</v>
      </c>
      <c r="D9" s="374"/>
      <c r="E9" s="375"/>
      <c r="F9" s="376" t="s">
        <v>363</v>
      </c>
      <c r="G9" s="374"/>
      <c r="H9" s="375"/>
      <c r="I9" s="326" t="s">
        <v>364</v>
      </c>
      <c r="J9" s="326"/>
      <c r="K9" s="326"/>
      <c r="L9" s="326" t="s">
        <v>365</v>
      </c>
      <c r="M9" s="326"/>
      <c r="N9" s="376" t="s">
        <v>366</v>
      </c>
      <c r="O9" s="375"/>
    </row>
    <row r="10" spans="1:15" s="57" customFormat="1" ht="17.25" customHeight="1">
      <c r="A10" s="326">
        <v>1</v>
      </c>
      <c r="B10" s="326"/>
      <c r="C10" s="374">
        <v>2</v>
      </c>
      <c r="D10" s="374"/>
      <c r="E10" s="375"/>
      <c r="F10" s="376">
        <v>3</v>
      </c>
      <c r="G10" s="374"/>
      <c r="H10" s="375"/>
      <c r="I10" s="326">
        <v>4</v>
      </c>
      <c r="J10" s="326"/>
      <c r="K10" s="326"/>
      <c r="L10" s="376">
        <v>5</v>
      </c>
      <c r="M10" s="375"/>
      <c r="N10" s="326">
        <v>6</v>
      </c>
      <c r="O10" s="326"/>
    </row>
    <row r="11" spans="1:15" s="57" customFormat="1" ht="78.75" customHeight="1">
      <c r="A11" s="377" t="s">
        <v>367</v>
      </c>
      <c r="B11" s="377"/>
      <c r="C11" s="378">
        <f>SUM(C12:C14)</f>
        <v>81</v>
      </c>
      <c r="D11" s="379"/>
      <c r="E11" s="380"/>
      <c r="F11" s="378">
        <f>SUM(F12:F14)</f>
        <v>91</v>
      </c>
      <c r="G11" s="379"/>
      <c r="H11" s="380"/>
      <c r="I11" s="378">
        <f>SUM(I12:I14)</f>
        <v>109</v>
      </c>
      <c r="J11" s="379"/>
      <c r="K11" s="380"/>
      <c r="L11" s="381">
        <f>I11-F11</f>
        <v>18</v>
      </c>
      <c r="M11" s="381"/>
      <c r="N11" s="382">
        <f>(I11/F11)*100</f>
        <v>119.78021978021978</v>
      </c>
      <c r="O11" s="383"/>
    </row>
    <row r="12" spans="1:15" s="57" customFormat="1" ht="30" customHeight="1">
      <c r="A12" s="384" t="s">
        <v>181</v>
      </c>
      <c r="B12" s="384"/>
      <c r="C12" s="385">
        <v>1</v>
      </c>
      <c r="D12" s="386"/>
      <c r="E12" s="387"/>
      <c r="F12" s="388">
        <v>1</v>
      </c>
      <c r="G12" s="389"/>
      <c r="H12" s="390"/>
      <c r="I12" s="385">
        <v>1</v>
      </c>
      <c r="J12" s="386"/>
      <c r="K12" s="387"/>
      <c r="L12" s="391">
        <f aca="true" t="shared" si="0" ref="L12:L26">I12-F12</f>
        <v>0</v>
      </c>
      <c r="M12" s="391"/>
      <c r="N12" s="392">
        <f aca="true" t="shared" si="1" ref="N12:N26">(I12/F12)*100</f>
        <v>100</v>
      </c>
      <c r="O12" s="393"/>
    </row>
    <row r="13" spans="1:15" s="57" customFormat="1" ht="30" customHeight="1">
      <c r="A13" s="384" t="s">
        <v>183</v>
      </c>
      <c r="B13" s="384"/>
      <c r="C13" s="385">
        <v>9</v>
      </c>
      <c r="D13" s="386"/>
      <c r="E13" s="387"/>
      <c r="F13" s="388">
        <v>12</v>
      </c>
      <c r="G13" s="389"/>
      <c r="H13" s="390"/>
      <c r="I13" s="385">
        <v>10</v>
      </c>
      <c r="J13" s="386"/>
      <c r="K13" s="387"/>
      <c r="L13" s="391">
        <f t="shared" si="0"/>
        <v>-2</v>
      </c>
      <c r="M13" s="391"/>
      <c r="N13" s="392">
        <f t="shared" si="1"/>
        <v>83.33333333333334</v>
      </c>
      <c r="O13" s="393"/>
    </row>
    <row r="14" spans="1:15" s="57" customFormat="1" ht="30" customHeight="1">
      <c r="A14" s="384" t="s">
        <v>185</v>
      </c>
      <c r="B14" s="384"/>
      <c r="C14" s="385">
        <v>71</v>
      </c>
      <c r="D14" s="386"/>
      <c r="E14" s="387"/>
      <c r="F14" s="388">
        <v>78</v>
      </c>
      <c r="G14" s="389"/>
      <c r="H14" s="390"/>
      <c r="I14" s="385">
        <v>98</v>
      </c>
      <c r="J14" s="386"/>
      <c r="K14" s="387"/>
      <c r="L14" s="391">
        <f t="shared" si="0"/>
        <v>20</v>
      </c>
      <c r="M14" s="391"/>
      <c r="N14" s="392">
        <f t="shared" si="1"/>
        <v>125.64102564102564</v>
      </c>
      <c r="O14" s="393"/>
    </row>
    <row r="15" spans="1:15" s="57" customFormat="1" ht="39.75" customHeight="1">
      <c r="A15" s="377" t="s">
        <v>368</v>
      </c>
      <c r="B15" s="377"/>
      <c r="C15" s="378">
        <f>SUM(C16:C18)</f>
        <v>3295.7000000000003</v>
      </c>
      <c r="D15" s="379"/>
      <c r="E15" s="380"/>
      <c r="F15" s="394">
        <f>SUM(F16:F18)</f>
        <v>4620</v>
      </c>
      <c r="G15" s="395"/>
      <c r="H15" s="396"/>
      <c r="I15" s="378">
        <f>SUM(I16:I18)</f>
        <v>5220.2</v>
      </c>
      <c r="J15" s="379"/>
      <c r="K15" s="380"/>
      <c r="L15" s="381">
        <f t="shared" si="0"/>
        <v>600.1999999999998</v>
      </c>
      <c r="M15" s="381"/>
      <c r="N15" s="382">
        <f t="shared" si="1"/>
        <v>112.991341991342</v>
      </c>
      <c r="O15" s="383"/>
    </row>
    <row r="16" spans="1:15" s="57" customFormat="1" ht="30" customHeight="1">
      <c r="A16" s="384" t="s">
        <v>181</v>
      </c>
      <c r="B16" s="384"/>
      <c r="C16" s="385">
        <v>54.2</v>
      </c>
      <c r="D16" s="386"/>
      <c r="E16" s="387"/>
      <c r="F16" s="388">
        <v>137</v>
      </c>
      <c r="G16" s="389"/>
      <c r="H16" s="390"/>
      <c r="I16" s="385">
        <v>136.7</v>
      </c>
      <c r="J16" s="386"/>
      <c r="K16" s="387"/>
      <c r="L16" s="391">
        <f t="shared" si="0"/>
        <v>-0.30000000000001137</v>
      </c>
      <c r="M16" s="391"/>
      <c r="N16" s="392">
        <f t="shared" si="1"/>
        <v>99.7810218978102</v>
      </c>
      <c r="O16" s="393"/>
    </row>
    <row r="17" spans="1:15" s="57" customFormat="1" ht="30" customHeight="1">
      <c r="A17" s="384" t="s">
        <v>183</v>
      </c>
      <c r="B17" s="384"/>
      <c r="C17" s="385">
        <v>295.1</v>
      </c>
      <c r="D17" s="386"/>
      <c r="E17" s="387"/>
      <c r="F17" s="388">
        <v>663</v>
      </c>
      <c r="G17" s="389"/>
      <c r="H17" s="390"/>
      <c r="I17" s="385">
        <v>664</v>
      </c>
      <c r="J17" s="386"/>
      <c r="K17" s="387"/>
      <c r="L17" s="391">
        <f t="shared" si="0"/>
        <v>1</v>
      </c>
      <c r="M17" s="391"/>
      <c r="N17" s="392">
        <f t="shared" si="1"/>
        <v>100.15082956259427</v>
      </c>
      <c r="O17" s="393"/>
    </row>
    <row r="18" spans="1:15" s="57" customFormat="1" ht="30" customHeight="1">
      <c r="A18" s="384" t="s">
        <v>185</v>
      </c>
      <c r="B18" s="384"/>
      <c r="C18" s="385">
        <v>2946.4</v>
      </c>
      <c r="D18" s="386"/>
      <c r="E18" s="387"/>
      <c r="F18" s="388">
        <v>3820</v>
      </c>
      <c r="G18" s="389"/>
      <c r="H18" s="390"/>
      <c r="I18" s="385">
        <v>4419.5</v>
      </c>
      <c r="J18" s="386"/>
      <c r="K18" s="387"/>
      <c r="L18" s="391">
        <f t="shared" si="0"/>
        <v>599.5</v>
      </c>
      <c r="M18" s="391"/>
      <c r="N18" s="392">
        <f t="shared" si="1"/>
        <v>115.69371727748691</v>
      </c>
      <c r="O18" s="393"/>
    </row>
    <row r="19" spans="1:15" s="57" customFormat="1" ht="37.5" customHeight="1">
      <c r="A19" s="377" t="s">
        <v>369</v>
      </c>
      <c r="B19" s="377"/>
      <c r="C19" s="378">
        <f>SUM(C20:E22)</f>
        <v>3295.7000000000003</v>
      </c>
      <c r="D19" s="379"/>
      <c r="E19" s="380"/>
      <c r="F19" s="394">
        <f>'Осн. фін. пок.'!E72</f>
        <v>4620</v>
      </c>
      <c r="G19" s="395"/>
      <c r="H19" s="396"/>
      <c r="I19" s="378">
        <f>'Осн. фін. пок.'!F72</f>
        <v>5521.9</v>
      </c>
      <c r="J19" s="379"/>
      <c r="K19" s="380"/>
      <c r="L19" s="381">
        <f t="shared" si="0"/>
        <v>901.8999999999996</v>
      </c>
      <c r="M19" s="381"/>
      <c r="N19" s="382">
        <f t="shared" si="1"/>
        <v>119.52164502164501</v>
      </c>
      <c r="O19" s="383"/>
    </row>
    <row r="20" spans="1:15" s="57" customFormat="1" ht="30" customHeight="1">
      <c r="A20" s="384" t="s">
        <v>181</v>
      </c>
      <c r="B20" s="384"/>
      <c r="C20" s="385">
        <v>54.2</v>
      </c>
      <c r="D20" s="386"/>
      <c r="E20" s="387"/>
      <c r="F20" s="388">
        <v>107</v>
      </c>
      <c r="G20" s="389"/>
      <c r="H20" s="390"/>
      <c r="I20" s="385">
        <v>136.7</v>
      </c>
      <c r="J20" s="386"/>
      <c r="K20" s="387"/>
      <c r="L20" s="391">
        <f t="shared" si="0"/>
        <v>29.69999999999999</v>
      </c>
      <c r="M20" s="391"/>
      <c r="N20" s="392">
        <f t="shared" si="1"/>
        <v>127.75700934579439</v>
      </c>
      <c r="O20" s="393"/>
    </row>
    <row r="21" spans="1:15" s="57" customFormat="1" ht="30" customHeight="1">
      <c r="A21" s="384" t="s">
        <v>183</v>
      </c>
      <c r="B21" s="384"/>
      <c r="C21" s="385">
        <v>295.1</v>
      </c>
      <c r="D21" s="386"/>
      <c r="E21" s="387"/>
      <c r="F21" s="388">
        <v>393</v>
      </c>
      <c r="G21" s="389"/>
      <c r="H21" s="390"/>
      <c r="I21" s="385">
        <v>664</v>
      </c>
      <c r="J21" s="386"/>
      <c r="K21" s="387"/>
      <c r="L21" s="391">
        <f t="shared" si="0"/>
        <v>271</v>
      </c>
      <c r="M21" s="391"/>
      <c r="N21" s="392">
        <f t="shared" si="1"/>
        <v>168.95674300254453</v>
      </c>
      <c r="O21" s="393"/>
    </row>
    <row r="22" spans="1:15" s="57" customFormat="1" ht="30" customHeight="1">
      <c r="A22" s="384" t="s">
        <v>185</v>
      </c>
      <c r="B22" s="384"/>
      <c r="C22" s="385">
        <v>2946.4</v>
      </c>
      <c r="D22" s="386"/>
      <c r="E22" s="387"/>
      <c r="F22" s="388">
        <v>2630</v>
      </c>
      <c r="G22" s="389"/>
      <c r="H22" s="390"/>
      <c r="I22" s="385">
        <v>4421.2</v>
      </c>
      <c r="J22" s="386"/>
      <c r="K22" s="387"/>
      <c r="L22" s="391">
        <f t="shared" si="0"/>
        <v>1791.1999999999998</v>
      </c>
      <c r="M22" s="391"/>
      <c r="N22" s="392">
        <f t="shared" si="1"/>
        <v>168.106463878327</v>
      </c>
      <c r="O22" s="393"/>
    </row>
    <row r="23" spans="1:15" s="57" customFormat="1" ht="34.5" customHeight="1">
      <c r="A23" s="377" t="s">
        <v>370</v>
      </c>
      <c r="B23" s="377"/>
      <c r="C23" s="378">
        <f>(C19/C11)/3*1000</f>
        <v>13562.551440329218</v>
      </c>
      <c r="D23" s="379"/>
      <c r="E23" s="380"/>
      <c r="F23" s="378">
        <f>(F19/F11)/3*1000</f>
        <v>16923.076923076922</v>
      </c>
      <c r="G23" s="379"/>
      <c r="H23" s="380"/>
      <c r="I23" s="378">
        <f>(I19/I11)/3*1000</f>
        <v>16886.544342507645</v>
      </c>
      <c r="J23" s="379"/>
      <c r="K23" s="380"/>
      <c r="L23" s="381">
        <f t="shared" si="0"/>
        <v>-36.53258056927734</v>
      </c>
      <c r="M23" s="381"/>
      <c r="N23" s="382">
        <f t="shared" si="1"/>
        <v>99.78412566027245</v>
      </c>
      <c r="O23" s="383"/>
    </row>
    <row r="24" spans="1:15" s="57" customFormat="1" ht="30" customHeight="1">
      <c r="A24" s="384" t="s">
        <v>181</v>
      </c>
      <c r="B24" s="384"/>
      <c r="C24" s="397">
        <f>(C20/C12)/3*1000</f>
        <v>18066.666666666668</v>
      </c>
      <c r="D24" s="398"/>
      <c r="E24" s="399"/>
      <c r="F24" s="397">
        <f>(F20/F12)/3*1000</f>
        <v>35666.666666666664</v>
      </c>
      <c r="G24" s="398"/>
      <c r="H24" s="399"/>
      <c r="I24" s="397">
        <f>(I20/I12)/3*1000</f>
        <v>45566.666666666664</v>
      </c>
      <c r="J24" s="398"/>
      <c r="K24" s="399"/>
      <c r="L24" s="391">
        <f t="shared" si="0"/>
        <v>9900</v>
      </c>
      <c r="M24" s="391"/>
      <c r="N24" s="392">
        <f t="shared" si="1"/>
        <v>127.75700934579439</v>
      </c>
      <c r="O24" s="393"/>
    </row>
    <row r="25" spans="1:15" s="57" customFormat="1" ht="30" customHeight="1">
      <c r="A25" s="384" t="s">
        <v>183</v>
      </c>
      <c r="B25" s="384"/>
      <c r="C25" s="397">
        <f>(C21/C13)/3*1000</f>
        <v>10929.629629629631</v>
      </c>
      <c r="D25" s="398"/>
      <c r="E25" s="399"/>
      <c r="F25" s="397">
        <f>(F21/F13)/3*1000</f>
        <v>10916.666666666666</v>
      </c>
      <c r="G25" s="398"/>
      <c r="H25" s="399"/>
      <c r="I25" s="397">
        <f>(I21/I13)/3*1000</f>
        <v>22133.333333333336</v>
      </c>
      <c r="J25" s="398"/>
      <c r="K25" s="399"/>
      <c r="L25" s="391">
        <f t="shared" si="0"/>
        <v>11216.66666666667</v>
      </c>
      <c r="M25" s="391"/>
      <c r="N25" s="392">
        <f t="shared" si="1"/>
        <v>202.74809160305347</v>
      </c>
      <c r="O25" s="393"/>
    </row>
    <row r="26" spans="1:15" s="57" customFormat="1" ht="30" customHeight="1">
      <c r="A26" s="384" t="s">
        <v>185</v>
      </c>
      <c r="B26" s="384"/>
      <c r="C26" s="397">
        <f>(C22/C14)/3*1000</f>
        <v>13832.86384976526</v>
      </c>
      <c r="D26" s="398"/>
      <c r="E26" s="399"/>
      <c r="F26" s="397">
        <f>(F22/F14)/3*1000</f>
        <v>11239.316239316238</v>
      </c>
      <c r="G26" s="398"/>
      <c r="H26" s="399"/>
      <c r="I26" s="397">
        <f>(I22/I14)/3*1000</f>
        <v>15038.095238095239</v>
      </c>
      <c r="J26" s="398"/>
      <c r="K26" s="399"/>
      <c r="L26" s="391">
        <f t="shared" si="0"/>
        <v>3798.778998779</v>
      </c>
      <c r="M26" s="391"/>
      <c r="N26" s="392">
        <f t="shared" si="1"/>
        <v>133.79902227050516</v>
      </c>
      <c r="O26" s="393"/>
    </row>
    <row r="27" spans="1:15" s="57" customFormat="1" ht="13.5" customHeight="1">
      <c r="A27" s="64"/>
      <c r="B27" s="64"/>
      <c r="C27" s="64"/>
      <c r="D27" s="29"/>
      <c r="E27" s="29"/>
      <c r="F27" s="29"/>
      <c r="G27" s="29"/>
      <c r="H27" s="29"/>
      <c r="I27" s="29"/>
      <c r="J27" s="29"/>
      <c r="K27" s="29"/>
      <c r="L27" s="29"/>
      <c r="M27" s="29"/>
      <c r="N27" s="79"/>
      <c r="O27" s="79"/>
    </row>
    <row r="28" spans="1:15" ht="18.75">
      <c r="A28" s="400" t="s">
        <v>371</v>
      </c>
      <c r="B28" s="400"/>
      <c r="C28" s="400"/>
      <c r="D28" s="400"/>
      <c r="E28" s="400"/>
      <c r="F28" s="400"/>
      <c r="G28" s="400"/>
      <c r="H28" s="400"/>
      <c r="I28" s="400"/>
      <c r="J28" s="400"/>
      <c r="K28" s="400"/>
      <c r="L28" s="400"/>
      <c r="M28" s="400"/>
      <c r="N28" s="400"/>
      <c r="O28" s="400"/>
    </row>
    <row r="29" spans="1:9" ht="11.25" customHeight="1">
      <c r="A29" s="11"/>
      <c r="B29" s="11"/>
      <c r="C29" s="11"/>
      <c r="D29" s="11"/>
      <c r="E29" s="11"/>
      <c r="F29" s="11"/>
      <c r="G29" s="11"/>
      <c r="H29" s="11"/>
      <c r="I29" s="11"/>
    </row>
    <row r="30" spans="1:15" ht="30.75" customHeight="1">
      <c r="A30" s="372" t="s">
        <v>372</v>
      </c>
      <c r="B30" s="372"/>
      <c r="C30" s="372"/>
      <c r="D30" s="372"/>
      <c r="E30" s="372"/>
      <c r="F30" s="372"/>
      <c r="G30" s="372"/>
      <c r="H30" s="372"/>
      <c r="I30" s="372"/>
      <c r="J30" s="372"/>
      <c r="K30" s="372"/>
      <c r="L30" s="372"/>
      <c r="M30" s="372"/>
      <c r="N30" s="372"/>
      <c r="O30" s="372"/>
    </row>
    <row r="31" ht="12.75" customHeight="1"/>
    <row r="32" spans="1:15" ht="24.75" customHeight="1">
      <c r="A32" s="42" t="s">
        <v>373</v>
      </c>
      <c r="B32" s="401" t="s">
        <v>374</v>
      </c>
      <c r="C32" s="402"/>
      <c r="D32" s="402"/>
      <c r="E32" s="402"/>
      <c r="F32" s="345" t="s">
        <v>375</v>
      </c>
      <c r="G32" s="345"/>
      <c r="H32" s="345"/>
      <c r="I32" s="345"/>
      <c r="J32" s="345"/>
      <c r="K32" s="345"/>
      <c r="L32" s="345"/>
      <c r="M32" s="345"/>
      <c r="N32" s="345"/>
      <c r="O32" s="345"/>
    </row>
    <row r="33" spans="1:15" ht="17.25" customHeight="1">
      <c r="A33" s="42">
        <v>1</v>
      </c>
      <c r="B33" s="401">
        <v>2</v>
      </c>
      <c r="C33" s="402"/>
      <c r="D33" s="402"/>
      <c r="E33" s="402"/>
      <c r="F33" s="345">
        <v>3</v>
      </c>
      <c r="G33" s="345"/>
      <c r="H33" s="345"/>
      <c r="I33" s="345"/>
      <c r="J33" s="345"/>
      <c r="K33" s="345"/>
      <c r="L33" s="345"/>
      <c r="M33" s="345"/>
      <c r="N33" s="345"/>
      <c r="O33" s="345"/>
    </row>
    <row r="34" spans="1:15" ht="19.5" customHeight="1">
      <c r="A34" s="65"/>
      <c r="B34" s="403"/>
      <c r="C34" s="404"/>
      <c r="D34" s="404"/>
      <c r="E34" s="404"/>
      <c r="F34" s="405"/>
      <c r="G34" s="405"/>
      <c r="H34" s="405"/>
      <c r="I34" s="405"/>
      <c r="J34" s="405"/>
      <c r="K34" s="405"/>
      <c r="L34" s="405"/>
      <c r="M34" s="405"/>
      <c r="N34" s="405"/>
      <c r="O34" s="405"/>
    </row>
    <row r="35" spans="1:15" ht="19.5" customHeight="1">
      <c r="A35" s="65"/>
      <c r="B35" s="403"/>
      <c r="C35" s="404"/>
      <c r="D35" s="404"/>
      <c r="E35" s="404"/>
      <c r="F35" s="405"/>
      <c r="G35" s="405"/>
      <c r="H35" s="405"/>
      <c r="I35" s="405"/>
      <c r="J35" s="405"/>
      <c r="K35" s="405"/>
      <c r="L35" s="405"/>
      <c r="M35" s="405"/>
      <c r="N35" s="405"/>
      <c r="O35" s="405"/>
    </row>
    <row r="36" spans="1:15" ht="19.5" customHeight="1">
      <c r="A36" s="65"/>
      <c r="B36" s="403"/>
      <c r="C36" s="404"/>
      <c r="D36" s="404"/>
      <c r="E36" s="404"/>
      <c r="F36" s="405"/>
      <c r="G36" s="405"/>
      <c r="H36" s="405"/>
      <c r="I36" s="405"/>
      <c r="J36" s="405"/>
      <c r="K36" s="405"/>
      <c r="L36" s="405"/>
      <c r="M36" s="405"/>
      <c r="N36" s="405"/>
      <c r="O36" s="405"/>
    </row>
    <row r="37" spans="1:15" ht="19.5" customHeight="1">
      <c r="A37" s="65"/>
      <c r="B37" s="403"/>
      <c r="C37" s="404"/>
      <c r="D37" s="404"/>
      <c r="E37" s="404"/>
      <c r="F37" s="405"/>
      <c r="G37" s="405"/>
      <c r="H37" s="405"/>
      <c r="I37" s="405"/>
      <c r="J37" s="405"/>
      <c r="K37" s="405"/>
      <c r="L37" s="405"/>
      <c r="M37" s="405"/>
      <c r="N37" s="405"/>
      <c r="O37" s="405"/>
    </row>
    <row r="38" spans="1:15" ht="19.5" customHeight="1">
      <c r="A38" s="65"/>
      <c r="B38" s="403"/>
      <c r="C38" s="404"/>
      <c r="D38" s="404"/>
      <c r="E38" s="404"/>
      <c r="F38" s="405"/>
      <c r="G38" s="405"/>
      <c r="H38" s="405"/>
      <c r="I38" s="405"/>
      <c r="J38" s="405"/>
      <c r="K38" s="405"/>
      <c r="L38" s="405"/>
      <c r="M38" s="405"/>
      <c r="N38" s="405"/>
      <c r="O38" s="405"/>
    </row>
    <row r="39" spans="1:15" ht="19.5" customHeight="1">
      <c r="A39" s="65"/>
      <c r="B39" s="403"/>
      <c r="C39" s="404"/>
      <c r="D39" s="404"/>
      <c r="E39" s="404"/>
      <c r="F39" s="405"/>
      <c r="G39" s="405"/>
      <c r="H39" s="405"/>
      <c r="I39" s="405"/>
      <c r="J39" s="405"/>
      <c r="K39" s="405"/>
      <c r="L39" s="405"/>
      <c r="M39" s="405"/>
      <c r="N39" s="405"/>
      <c r="O39" s="405"/>
    </row>
    <row r="40" spans="1:10" ht="18.75">
      <c r="A40" s="372" t="s">
        <v>376</v>
      </c>
      <c r="B40" s="372"/>
      <c r="C40" s="372"/>
      <c r="D40" s="372"/>
      <c r="E40" s="372"/>
      <c r="F40" s="372"/>
      <c r="G40" s="372"/>
      <c r="H40" s="372"/>
      <c r="I40" s="372"/>
      <c r="J40" s="372"/>
    </row>
    <row r="41" ht="18.75">
      <c r="A41" s="67"/>
    </row>
    <row r="42" spans="1:15" ht="52.5" customHeight="1">
      <c r="A42" s="435" t="s">
        <v>377</v>
      </c>
      <c r="B42" s="436"/>
      <c r="C42" s="437"/>
      <c r="D42" s="326" t="s">
        <v>378</v>
      </c>
      <c r="E42" s="326"/>
      <c r="F42" s="326"/>
      <c r="G42" s="326" t="s">
        <v>379</v>
      </c>
      <c r="H42" s="326"/>
      <c r="I42" s="326"/>
      <c r="J42" s="326" t="s">
        <v>380</v>
      </c>
      <c r="K42" s="326"/>
      <c r="L42" s="326"/>
      <c r="M42" s="376" t="s">
        <v>381</v>
      </c>
      <c r="N42" s="374"/>
      <c r="O42" s="375"/>
    </row>
    <row r="43" spans="1:15" ht="155.25" customHeight="1">
      <c r="A43" s="438"/>
      <c r="B43" s="439"/>
      <c r="C43" s="440"/>
      <c r="D43" s="13" t="s">
        <v>382</v>
      </c>
      <c r="E43" s="13" t="s">
        <v>383</v>
      </c>
      <c r="F43" s="13" t="s">
        <v>384</v>
      </c>
      <c r="G43" s="13" t="s">
        <v>382</v>
      </c>
      <c r="H43" s="13" t="s">
        <v>383</v>
      </c>
      <c r="I43" s="13" t="s">
        <v>384</v>
      </c>
      <c r="J43" s="13" t="s">
        <v>382</v>
      </c>
      <c r="K43" s="13" t="s">
        <v>383</v>
      </c>
      <c r="L43" s="13" t="s">
        <v>384</v>
      </c>
      <c r="M43" s="80" t="s">
        <v>385</v>
      </c>
      <c r="N43" s="80" t="s">
        <v>386</v>
      </c>
      <c r="O43" s="80" t="s">
        <v>387</v>
      </c>
    </row>
    <row r="44" spans="1:15" ht="18.75">
      <c r="A44" s="376">
        <v>1</v>
      </c>
      <c r="B44" s="374"/>
      <c r="C44" s="375"/>
      <c r="D44" s="13">
        <v>2</v>
      </c>
      <c r="E44" s="13">
        <v>3</v>
      </c>
      <c r="F44" s="13">
        <v>4</v>
      </c>
      <c r="G44" s="13">
        <v>5</v>
      </c>
      <c r="H44" s="22">
        <v>6</v>
      </c>
      <c r="I44" s="22">
        <v>7</v>
      </c>
      <c r="J44" s="22">
        <v>8</v>
      </c>
      <c r="K44" s="22">
        <v>9</v>
      </c>
      <c r="L44" s="22">
        <v>10</v>
      </c>
      <c r="M44" s="22">
        <v>11</v>
      </c>
      <c r="N44" s="22">
        <v>12</v>
      </c>
      <c r="O44" s="22">
        <v>13</v>
      </c>
    </row>
    <row r="45" spans="1:15" ht="18.75">
      <c r="A45" s="376"/>
      <c r="B45" s="374"/>
      <c r="C45" s="375"/>
      <c r="D45" s="25"/>
      <c r="E45" s="25"/>
      <c r="F45" s="68"/>
      <c r="G45" s="25"/>
      <c r="H45" s="25"/>
      <c r="I45" s="68"/>
      <c r="J45" s="81">
        <f aca="true" t="shared" si="2" ref="J45:L48">G45-D45</f>
        <v>0</v>
      </c>
      <c r="K45" s="81">
        <f t="shared" si="2"/>
        <v>0</v>
      </c>
      <c r="L45" s="82">
        <f t="shared" si="2"/>
        <v>0</v>
      </c>
      <c r="M45" s="83" t="e">
        <f aca="true" t="shared" si="3" ref="M45:O48">(G45/D45)*100</f>
        <v>#DIV/0!</v>
      </c>
      <c r="N45" s="25" t="e">
        <f t="shared" si="3"/>
        <v>#DIV/0!</v>
      </c>
      <c r="O45" s="68" t="e">
        <f t="shared" si="3"/>
        <v>#DIV/0!</v>
      </c>
    </row>
    <row r="46" spans="1:15" ht="18.75">
      <c r="A46" s="376"/>
      <c r="B46" s="374"/>
      <c r="C46" s="375"/>
      <c r="D46" s="25"/>
      <c r="E46" s="25"/>
      <c r="F46" s="68"/>
      <c r="G46" s="25"/>
      <c r="H46" s="25"/>
      <c r="I46" s="68"/>
      <c r="J46" s="81">
        <f t="shared" si="2"/>
        <v>0</v>
      </c>
      <c r="K46" s="81">
        <f t="shared" si="2"/>
        <v>0</v>
      </c>
      <c r="L46" s="82">
        <f t="shared" si="2"/>
        <v>0</v>
      </c>
      <c r="M46" s="83" t="e">
        <f t="shared" si="3"/>
        <v>#DIV/0!</v>
      </c>
      <c r="N46" s="25" t="e">
        <f t="shared" si="3"/>
        <v>#DIV/0!</v>
      </c>
      <c r="O46" s="68" t="e">
        <f t="shared" si="3"/>
        <v>#DIV/0!</v>
      </c>
    </row>
    <row r="47" spans="1:15" ht="19.5" customHeight="1">
      <c r="A47" s="406"/>
      <c r="B47" s="319"/>
      <c r="C47" s="322"/>
      <c r="D47" s="25"/>
      <c r="E47" s="25"/>
      <c r="F47" s="68"/>
      <c r="G47" s="25"/>
      <c r="H47" s="25"/>
      <c r="I47" s="68"/>
      <c r="J47" s="81">
        <f t="shared" si="2"/>
        <v>0</v>
      </c>
      <c r="K47" s="81">
        <f t="shared" si="2"/>
        <v>0</v>
      </c>
      <c r="L47" s="82">
        <f t="shared" si="2"/>
        <v>0</v>
      </c>
      <c r="M47" s="83" t="e">
        <f t="shared" si="3"/>
        <v>#DIV/0!</v>
      </c>
      <c r="N47" s="25" t="e">
        <f t="shared" si="3"/>
        <v>#DIV/0!</v>
      </c>
      <c r="O47" s="68" t="e">
        <f t="shared" si="3"/>
        <v>#DIV/0!</v>
      </c>
    </row>
    <row r="48" spans="1:15" ht="19.5" customHeight="1">
      <c r="A48" s="406"/>
      <c r="B48" s="319"/>
      <c r="C48" s="322"/>
      <c r="D48" s="25"/>
      <c r="E48" s="25"/>
      <c r="F48" s="68"/>
      <c r="G48" s="25"/>
      <c r="H48" s="25"/>
      <c r="I48" s="68"/>
      <c r="J48" s="81">
        <f t="shared" si="2"/>
        <v>0</v>
      </c>
      <c r="K48" s="81">
        <f t="shared" si="2"/>
        <v>0</v>
      </c>
      <c r="L48" s="82">
        <f t="shared" si="2"/>
        <v>0</v>
      </c>
      <c r="M48" s="83" t="e">
        <f t="shared" si="3"/>
        <v>#DIV/0!</v>
      </c>
      <c r="N48" s="25" t="e">
        <f t="shared" si="3"/>
        <v>#DIV/0!</v>
      </c>
      <c r="O48" s="68" t="e">
        <f t="shared" si="3"/>
        <v>#DIV/0!</v>
      </c>
    </row>
    <row r="49" spans="1:15" ht="24.75" customHeight="1">
      <c r="A49" s="407" t="s">
        <v>92</v>
      </c>
      <c r="B49" s="408"/>
      <c r="C49" s="409"/>
      <c r="D49" s="26">
        <f>SUM(D45:D48)</f>
        <v>0</v>
      </c>
      <c r="E49" s="69"/>
      <c r="F49" s="70"/>
      <c r="G49" s="26">
        <f>SUM(G45:G48)</f>
        <v>0</v>
      </c>
      <c r="H49" s="69"/>
      <c r="I49" s="70"/>
      <c r="J49" s="69"/>
      <c r="K49" s="69"/>
      <c r="L49" s="70"/>
      <c r="M49" s="84"/>
      <c r="N49" s="69"/>
      <c r="O49" s="70"/>
    </row>
    <row r="50" spans="1:15" ht="18.75">
      <c r="A50" s="71"/>
      <c r="B50" s="72"/>
      <c r="C50" s="72"/>
      <c r="D50" s="72"/>
      <c r="E50" s="72"/>
      <c r="F50" s="73"/>
      <c r="G50" s="73"/>
      <c r="H50" s="73"/>
      <c r="I50" s="59"/>
      <c r="J50" s="59"/>
      <c r="K50" s="59"/>
      <c r="L50" s="59"/>
      <c r="M50" s="59"/>
      <c r="N50" s="59"/>
      <c r="O50" s="59"/>
    </row>
    <row r="51" spans="1:15" ht="18.75">
      <c r="A51" s="372" t="s">
        <v>388</v>
      </c>
      <c r="B51" s="372"/>
      <c r="C51" s="372"/>
      <c r="D51" s="372"/>
      <c r="E51" s="372"/>
      <c r="F51" s="372"/>
      <c r="G51" s="372"/>
      <c r="H51" s="372"/>
      <c r="I51" s="372"/>
      <c r="J51" s="372"/>
      <c r="K51" s="372"/>
      <c r="L51" s="372"/>
      <c r="M51" s="372"/>
      <c r="N51" s="372"/>
      <c r="O51" s="372"/>
    </row>
    <row r="52" ht="18.75">
      <c r="A52" s="67"/>
    </row>
    <row r="53" spans="1:15" ht="56.25" customHeight="1">
      <c r="A53" s="13" t="s">
        <v>389</v>
      </c>
      <c r="B53" s="326" t="s">
        <v>390</v>
      </c>
      <c r="C53" s="326"/>
      <c r="D53" s="326" t="s">
        <v>391</v>
      </c>
      <c r="E53" s="326"/>
      <c r="F53" s="326" t="s">
        <v>392</v>
      </c>
      <c r="G53" s="326"/>
      <c r="H53" s="326" t="s">
        <v>393</v>
      </c>
      <c r="I53" s="326"/>
      <c r="J53" s="326"/>
      <c r="K53" s="376" t="s">
        <v>394</v>
      </c>
      <c r="L53" s="375"/>
      <c r="M53" s="376" t="s">
        <v>395</v>
      </c>
      <c r="N53" s="374"/>
      <c r="O53" s="375"/>
    </row>
    <row r="54" spans="1:15" ht="18.75">
      <c r="A54" s="22">
        <v>1</v>
      </c>
      <c r="B54" s="345">
        <v>2</v>
      </c>
      <c r="C54" s="345"/>
      <c r="D54" s="345">
        <v>3</v>
      </c>
      <c r="E54" s="345"/>
      <c r="F54" s="345">
        <v>4</v>
      </c>
      <c r="G54" s="345"/>
      <c r="H54" s="345">
        <v>5</v>
      </c>
      <c r="I54" s="345"/>
      <c r="J54" s="345"/>
      <c r="K54" s="345">
        <v>6</v>
      </c>
      <c r="L54" s="345"/>
      <c r="M54" s="401">
        <v>7</v>
      </c>
      <c r="N54" s="402"/>
      <c r="O54" s="410"/>
    </row>
    <row r="55" spans="1:15" ht="18.75">
      <c r="A55" s="66"/>
      <c r="B55" s="405"/>
      <c r="C55" s="405"/>
      <c r="D55" s="411"/>
      <c r="E55" s="411"/>
      <c r="F55" s="412" t="s">
        <v>396</v>
      </c>
      <c r="G55" s="412"/>
      <c r="H55" s="413"/>
      <c r="I55" s="413"/>
      <c r="J55" s="413"/>
      <c r="K55" s="414"/>
      <c r="L55" s="415"/>
      <c r="M55" s="411"/>
      <c r="N55" s="411"/>
      <c r="O55" s="411"/>
    </row>
    <row r="56" spans="1:15" ht="18.75">
      <c r="A56" s="66"/>
      <c r="B56" s="416"/>
      <c r="C56" s="417"/>
      <c r="D56" s="418"/>
      <c r="E56" s="419"/>
      <c r="F56" s="420"/>
      <c r="G56" s="421"/>
      <c r="H56" s="422"/>
      <c r="I56" s="423"/>
      <c r="J56" s="424"/>
      <c r="K56" s="414"/>
      <c r="L56" s="415"/>
      <c r="M56" s="418"/>
      <c r="N56" s="425"/>
      <c r="O56" s="419"/>
    </row>
    <row r="57" spans="1:15" ht="18.75">
      <c r="A57" s="66"/>
      <c r="B57" s="403"/>
      <c r="C57" s="426"/>
      <c r="D57" s="418"/>
      <c r="E57" s="419"/>
      <c r="F57" s="420"/>
      <c r="G57" s="421"/>
      <c r="H57" s="422"/>
      <c r="I57" s="423"/>
      <c r="J57" s="424"/>
      <c r="K57" s="414"/>
      <c r="L57" s="415"/>
      <c r="M57" s="418"/>
      <c r="N57" s="425"/>
      <c r="O57" s="419"/>
    </row>
    <row r="58" spans="1:15" ht="18.75">
      <c r="A58" s="66"/>
      <c r="B58" s="405"/>
      <c r="C58" s="405"/>
      <c r="D58" s="411"/>
      <c r="E58" s="411"/>
      <c r="F58" s="412"/>
      <c r="G58" s="412"/>
      <c r="H58" s="413"/>
      <c r="I58" s="413"/>
      <c r="J58" s="413"/>
      <c r="K58" s="414"/>
      <c r="L58" s="415"/>
      <c r="M58" s="411"/>
      <c r="N58" s="411"/>
      <c r="O58" s="411"/>
    </row>
    <row r="59" spans="1:15" ht="18.75">
      <c r="A59" s="74" t="s">
        <v>92</v>
      </c>
      <c r="B59" s="427" t="s">
        <v>397</v>
      </c>
      <c r="C59" s="427"/>
      <c r="D59" s="427" t="s">
        <v>397</v>
      </c>
      <c r="E59" s="427"/>
      <c r="F59" s="427" t="s">
        <v>397</v>
      </c>
      <c r="G59" s="427"/>
      <c r="H59" s="428"/>
      <c r="I59" s="428"/>
      <c r="J59" s="428"/>
      <c r="K59" s="429">
        <f>SUM(K55:L58)</f>
        <v>0</v>
      </c>
      <c r="L59" s="430"/>
      <c r="M59" s="431"/>
      <c r="N59" s="431"/>
      <c r="O59" s="431"/>
    </row>
    <row r="60" spans="1:15" ht="18.75">
      <c r="A60" s="73"/>
      <c r="B60" s="16"/>
      <c r="C60" s="16"/>
      <c r="D60" s="16"/>
      <c r="E60" s="16"/>
      <c r="F60" s="16"/>
      <c r="G60" s="16"/>
      <c r="H60" s="16"/>
      <c r="I60" s="16"/>
      <c r="J60" s="16"/>
      <c r="K60" s="57"/>
      <c r="L60" s="57"/>
      <c r="M60" s="57"/>
      <c r="N60" s="57"/>
      <c r="O60" s="57"/>
    </row>
    <row r="61" spans="1:15" ht="18.75">
      <c r="A61" s="372" t="s">
        <v>398</v>
      </c>
      <c r="B61" s="372"/>
      <c r="C61" s="372"/>
      <c r="D61" s="372"/>
      <c r="E61" s="372"/>
      <c r="F61" s="372"/>
      <c r="G61" s="372"/>
      <c r="H61" s="372"/>
      <c r="I61" s="372"/>
      <c r="J61" s="372"/>
      <c r="K61" s="372"/>
      <c r="L61" s="372"/>
      <c r="M61" s="372"/>
      <c r="N61" s="372"/>
      <c r="O61" s="372"/>
    </row>
    <row r="62" spans="1:9" ht="15" customHeight="1">
      <c r="A62" s="59"/>
      <c r="B62" s="76"/>
      <c r="C62" s="59"/>
      <c r="D62" s="59"/>
      <c r="E62" s="59"/>
      <c r="F62" s="59"/>
      <c r="G62" s="59"/>
      <c r="H62" s="59"/>
      <c r="I62" s="20"/>
    </row>
    <row r="63" spans="1:15" ht="42.75" customHeight="1">
      <c r="A63" s="326" t="s">
        <v>399</v>
      </c>
      <c r="B63" s="326"/>
      <c r="C63" s="326"/>
      <c r="D63" s="326" t="s">
        <v>400</v>
      </c>
      <c r="E63" s="326"/>
      <c r="F63" s="326" t="s">
        <v>401</v>
      </c>
      <c r="G63" s="326"/>
      <c r="H63" s="326"/>
      <c r="I63" s="326"/>
      <c r="J63" s="326" t="s">
        <v>402</v>
      </c>
      <c r="K63" s="326"/>
      <c r="L63" s="326"/>
      <c r="M63" s="326"/>
      <c r="N63" s="326" t="s">
        <v>403</v>
      </c>
      <c r="O63" s="326"/>
    </row>
    <row r="64" spans="1:15" ht="42.75" customHeight="1">
      <c r="A64" s="326"/>
      <c r="B64" s="326"/>
      <c r="C64" s="326"/>
      <c r="D64" s="326"/>
      <c r="E64" s="326"/>
      <c r="F64" s="345" t="s">
        <v>404</v>
      </c>
      <c r="G64" s="345"/>
      <c r="H64" s="326" t="s">
        <v>45</v>
      </c>
      <c r="I64" s="326"/>
      <c r="J64" s="345" t="s">
        <v>404</v>
      </c>
      <c r="K64" s="345"/>
      <c r="L64" s="326" t="s">
        <v>45</v>
      </c>
      <c r="M64" s="326"/>
      <c r="N64" s="326"/>
      <c r="O64" s="326"/>
    </row>
    <row r="65" spans="1:15" ht="18.75">
      <c r="A65" s="326">
        <v>1</v>
      </c>
      <c r="B65" s="326"/>
      <c r="C65" s="326"/>
      <c r="D65" s="376">
        <v>2</v>
      </c>
      <c r="E65" s="375"/>
      <c r="F65" s="376">
        <v>3</v>
      </c>
      <c r="G65" s="375"/>
      <c r="H65" s="401">
        <v>4</v>
      </c>
      <c r="I65" s="410"/>
      <c r="J65" s="401">
        <v>5</v>
      </c>
      <c r="K65" s="410"/>
      <c r="L65" s="401">
        <v>6</v>
      </c>
      <c r="M65" s="410"/>
      <c r="N65" s="401">
        <v>7</v>
      </c>
      <c r="O65" s="410"/>
    </row>
    <row r="66" spans="1:15" ht="19.5" customHeight="1">
      <c r="A66" s="432" t="s">
        <v>405</v>
      </c>
      <c r="B66" s="432"/>
      <c r="C66" s="432"/>
      <c r="D66" s="414"/>
      <c r="E66" s="415"/>
      <c r="F66" s="414"/>
      <c r="G66" s="415"/>
      <c r="H66" s="414"/>
      <c r="I66" s="415"/>
      <c r="J66" s="414"/>
      <c r="K66" s="415"/>
      <c r="L66" s="414"/>
      <c r="M66" s="415"/>
      <c r="N66" s="433">
        <f>D66+H66-L66</f>
        <v>0</v>
      </c>
      <c r="O66" s="434"/>
    </row>
    <row r="67" spans="1:15" ht="19.5" customHeight="1">
      <c r="A67" s="432" t="s">
        <v>406</v>
      </c>
      <c r="B67" s="432"/>
      <c r="C67" s="432"/>
      <c r="D67" s="414"/>
      <c r="E67" s="415"/>
      <c r="F67" s="414"/>
      <c r="G67" s="415"/>
      <c r="H67" s="414"/>
      <c r="I67" s="415"/>
      <c r="J67" s="414"/>
      <c r="K67" s="415"/>
      <c r="L67" s="414"/>
      <c r="M67" s="415"/>
      <c r="N67" s="414"/>
      <c r="O67" s="415"/>
    </row>
    <row r="68" spans="1:15" ht="19.5" customHeight="1">
      <c r="A68" s="432"/>
      <c r="B68" s="432"/>
      <c r="C68" s="432"/>
      <c r="D68" s="414"/>
      <c r="E68" s="415"/>
      <c r="F68" s="414"/>
      <c r="G68" s="415"/>
      <c r="H68" s="414"/>
      <c r="I68" s="415"/>
      <c r="J68" s="414"/>
      <c r="K68" s="415"/>
      <c r="L68" s="414"/>
      <c r="M68" s="415"/>
      <c r="N68" s="414"/>
      <c r="O68" s="415"/>
    </row>
    <row r="69" spans="1:15" ht="19.5" customHeight="1">
      <c r="A69" s="432" t="s">
        <v>407</v>
      </c>
      <c r="B69" s="432"/>
      <c r="C69" s="432"/>
      <c r="D69" s="414"/>
      <c r="E69" s="415"/>
      <c r="F69" s="414"/>
      <c r="G69" s="415"/>
      <c r="H69" s="414"/>
      <c r="I69" s="415"/>
      <c r="J69" s="414"/>
      <c r="K69" s="415"/>
      <c r="L69" s="414"/>
      <c r="M69" s="415"/>
      <c r="N69" s="433">
        <f>D69+H69-L69</f>
        <v>0</v>
      </c>
      <c r="O69" s="434"/>
    </row>
    <row r="70" spans="1:15" ht="19.5" customHeight="1">
      <c r="A70" s="432" t="s">
        <v>408</v>
      </c>
      <c r="B70" s="432"/>
      <c r="C70" s="432"/>
      <c r="D70" s="414"/>
      <c r="E70" s="415"/>
      <c r="F70" s="414"/>
      <c r="G70" s="415"/>
      <c r="H70" s="414"/>
      <c r="I70" s="415"/>
      <c r="J70" s="414"/>
      <c r="K70" s="415"/>
      <c r="L70" s="414"/>
      <c r="M70" s="415"/>
      <c r="N70" s="414"/>
      <c r="O70" s="415"/>
    </row>
    <row r="71" spans="1:15" ht="19.5" customHeight="1">
      <c r="A71" s="432"/>
      <c r="B71" s="432"/>
      <c r="C71" s="432"/>
      <c r="D71" s="414"/>
      <c r="E71" s="415"/>
      <c r="F71" s="414"/>
      <c r="G71" s="415"/>
      <c r="H71" s="414"/>
      <c r="I71" s="415"/>
      <c r="J71" s="414"/>
      <c r="K71" s="415"/>
      <c r="L71" s="414"/>
      <c r="M71" s="415"/>
      <c r="N71" s="414"/>
      <c r="O71" s="415"/>
    </row>
    <row r="72" spans="1:15" ht="19.5" customHeight="1">
      <c r="A72" s="432" t="s">
        <v>409</v>
      </c>
      <c r="B72" s="432"/>
      <c r="C72" s="432"/>
      <c r="D72" s="414"/>
      <c r="E72" s="415"/>
      <c r="F72" s="414"/>
      <c r="G72" s="415"/>
      <c r="H72" s="414"/>
      <c r="I72" s="415"/>
      <c r="J72" s="414"/>
      <c r="K72" s="415"/>
      <c r="L72" s="414"/>
      <c r="M72" s="415"/>
      <c r="N72" s="433">
        <f>D72+H72-L72</f>
        <v>0</v>
      </c>
      <c r="O72" s="434"/>
    </row>
    <row r="73" spans="1:15" ht="19.5" customHeight="1">
      <c r="A73" s="432" t="s">
        <v>406</v>
      </c>
      <c r="B73" s="432"/>
      <c r="C73" s="432"/>
      <c r="D73" s="414"/>
      <c r="E73" s="415"/>
      <c r="F73" s="414"/>
      <c r="G73" s="415"/>
      <c r="H73" s="414"/>
      <c r="I73" s="415"/>
      <c r="J73" s="414"/>
      <c r="K73" s="415"/>
      <c r="L73" s="414"/>
      <c r="M73" s="415"/>
      <c r="N73" s="414"/>
      <c r="O73" s="415"/>
    </row>
    <row r="74" spans="1:15" ht="19.5" customHeight="1">
      <c r="A74" s="432"/>
      <c r="B74" s="432"/>
      <c r="C74" s="432"/>
      <c r="D74" s="414"/>
      <c r="E74" s="415"/>
      <c r="F74" s="414"/>
      <c r="G74" s="415"/>
      <c r="H74" s="414"/>
      <c r="I74" s="415"/>
      <c r="J74" s="414"/>
      <c r="K74" s="415"/>
      <c r="L74" s="414"/>
      <c r="M74" s="415"/>
      <c r="N74" s="414"/>
      <c r="O74" s="415"/>
    </row>
    <row r="75" spans="1:15" ht="24.75" customHeight="1">
      <c r="A75" s="441" t="s">
        <v>92</v>
      </c>
      <c r="B75" s="441"/>
      <c r="C75" s="441"/>
      <c r="D75" s="429">
        <f>SUM(D66,D69,D72)</f>
        <v>0</v>
      </c>
      <c r="E75" s="430"/>
      <c r="F75" s="429">
        <f>SUM(F66,F69,F72)</f>
        <v>0</v>
      </c>
      <c r="G75" s="430"/>
      <c r="H75" s="429">
        <f>SUM(H66,H69,H72)</f>
        <v>0</v>
      </c>
      <c r="I75" s="430"/>
      <c r="J75" s="429">
        <f>SUM(J66,J69,J72)</f>
        <v>0</v>
      </c>
      <c r="K75" s="430"/>
      <c r="L75" s="429">
        <f>SUM(L66,L69,L72)</f>
        <v>0</v>
      </c>
      <c r="M75" s="430"/>
      <c r="N75" s="429">
        <f>D75+H75-L75</f>
        <v>0</v>
      </c>
      <c r="O75" s="430"/>
    </row>
    <row r="76" spans="3:5" ht="18.75">
      <c r="C76" s="87"/>
      <c r="D76" s="87"/>
      <c r="E76" s="87"/>
    </row>
    <row r="77" spans="3:5" ht="18.75">
      <c r="C77" s="87"/>
      <c r="D77" s="87"/>
      <c r="E77" s="87"/>
    </row>
    <row r="78" spans="3:5" ht="18.75">
      <c r="C78" s="87"/>
      <c r="D78" s="87"/>
      <c r="E78" s="87"/>
    </row>
    <row r="79" spans="3:5" ht="18.75">
      <c r="C79" s="87"/>
      <c r="D79" s="87"/>
      <c r="E79" s="87"/>
    </row>
    <row r="80" spans="3:5" ht="18.75">
      <c r="C80" s="87"/>
      <c r="D80" s="87"/>
      <c r="E80" s="87"/>
    </row>
    <row r="81" spans="3:5" ht="18.75">
      <c r="C81" s="87"/>
      <c r="D81" s="87"/>
      <c r="E81" s="87"/>
    </row>
    <row r="82" spans="3:5" ht="18.75">
      <c r="C82" s="87"/>
      <c r="D82" s="87"/>
      <c r="E82" s="87"/>
    </row>
    <row r="83" spans="3:5" ht="18.75">
      <c r="C83" s="87"/>
      <c r="D83" s="87"/>
      <c r="E83" s="87"/>
    </row>
    <row r="84" spans="3:5" ht="18.75">
      <c r="C84" s="87"/>
      <c r="D84" s="87"/>
      <c r="E84" s="87"/>
    </row>
    <row r="85" spans="3:5" ht="18.75">
      <c r="C85" s="87"/>
      <c r="D85" s="87"/>
      <c r="E85" s="87"/>
    </row>
    <row r="86" spans="3:5" ht="18.75">
      <c r="C86" s="87"/>
      <c r="D86" s="87"/>
      <c r="E86" s="87"/>
    </row>
    <row r="87" spans="3:5" ht="18.75">
      <c r="C87" s="87"/>
      <c r="D87" s="87"/>
      <c r="E87" s="87"/>
    </row>
    <row r="88" spans="3:5" ht="18.75">
      <c r="C88" s="87"/>
      <c r="D88" s="87"/>
      <c r="E88" s="87"/>
    </row>
    <row r="89" spans="3:5" ht="18.75">
      <c r="C89" s="87"/>
      <c r="D89" s="87"/>
      <c r="E89" s="87"/>
    </row>
  </sheetData>
  <sheetProtection/>
  <mergeCells count="274">
    <mergeCell ref="N75:O75"/>
    <mergeCell ref="D63:E64"/>
    <mergeCell ref="N63:O64"/>
    <mergeCell ref="A63:C64"/>
    <mergeCell ref="A42:C43"/>
    <mergeCell ref="A75:C75"/>
    <mergeCell ref="D75:E75"/>
    <mergeCell ref="F75:G75"/>
    <mergeCell ref="H75:I75"/>
    <mergeCell ref="J75:K75"/>
    <mergeCell ref="L75:M75"/>
    <mergeCell ref="N73:O73"/>
    <mergeCell ref="A74:C74"/>
    <mergeCell ref="D74:E74"/>
    <mergeCell ref="F74:G74"/>
    <mergeCell ref="H74:I74"/>
    <mergeCell ref="J74:K74"/>
    <mergeCell ref="L74:M74"/>
    <mergeCell ref="N74:O74"/>
    <mergeCell ref="A73:C73"/>
    <mergeCell ref="D73:E73"/>
    <mergeCell ref="F73:G73"/>
    <mergeCell ref="H73:I73"/>
    <mergeCell ref="J73:K73"/>
    <mergeCell ref="L73:M73"/>
    <mergeCell ref="N71:O71"/>
    <mergeCell ref="N72:O72"/>
    <mergeCell ref="A72:C72"/>
    <mergeCell ref="D72:E72"/>
    <mergeCell ref="F72:G72"/>
    <mergeCell ref="H72:I72"/>
    <mergeCell ref="J72:K72"/>
    <mergeCell ref="L72:M72"/>
    <mergeCell ref="A71:C71"/>
    <mergeCell ref="D71:E71"/>
    <mergeCell ref="F71:G71"/>
    <mergeCell ref="H71:I71"/>
    <mergeCell ref="J71:K71"/>
    <mergeCell ref="L71:M71"/>
    <mergeCell ref="N69:O69"/>
    <mergeCell ref="A70:C70"/>
    <mergeCell ref="D70:E70"/>
    <mergeCell ref="F70:G70"/>
    <mergeCell ref="H70:I70"/>
    <mergeCell ref="J70:K70"/>
    <mergeCell ref="L70:M70"/>
    <mergeCell ref="N70:O70"/>
    <mergeCell ref="A69:C69"/>
    <mergeCell ref="D69:E69"/>
    <mergeCell ref="F69:G69"/>
    <mergeCell ref="H69:I69"/>
    <mergeCell ref="J69:K69"/>
    <mergeCell ref="L69:M69"/>
    <mergeCell ref="N67:O67"/>
    <mergeCell ref="A68:C68"/>
    <mergeCell ref="D68:E68"/>
    <mergeCell ref="F68:G68"/>
    <mergeCell ref="H68:I68"/>
    <mergeCell ref="J68:K68"/>
    <mergeCell ref="L68:M68"/>
    <mergeCell ref="N68:O68"/>
    <mergeCell ref="A67:C67"/>
    <mergeCell ref="D67:E67"/>
    <mergeCell ref="F67:G67"/>
    <mergeCell ref="H67:I67"/>
    <mergeCell ref="J67:K67"/>
    <mergeCell ref="L67:M67"/>
    <mergeCell ref="N65:O65"/>
    <mergeCell ref="A66:C66"/>
    <mergeCell ref="D66:E66"/>
    <mergeCell ref="F66:G66"/>
    <mergeCell ref="H66:I66"/>
    <mergeCell ref="J66:K66"/>
    <mergeCell ref="L66:M66"/>
    <mergeCell ref="N66:O66"/>
    <mergeCell ref="A65:C65"/>
    <mergeCell ref="D65:E65"/>
    <mergeCell ref="F65:G65"/>
    <mergeCell ref="H65:I65"/>
    <mergeCell ref="J65:K65"/>
    <mergeCell ref="L65:M65"/>
    <mergeCell ref="A61:O61"/>
    <mergeCell ref="F63:I63"/>
    <mergeCell ref="J63:M63"/>
    <mergeCell ref="F64:G64"/>
    <mergeCell ref="H64:I64"/>
    <mergeCell ref="J64:K64"/>
    <mergeCell ref="L64:M64"/>
    <mergeCell ref="B59:C59"/>
    <mergeCell ref="D59:E59"/>
    <mergeCell ref="F59:G59"/>
    <mergeCell ref="H59:J59"/>
    <mergeCell ref="K59:L59"/>
    <mergeCell ref="M59:O59"/>
    <mergeCell ref="B58:C58"/>
    <mergeCell ref="D58:E58"/>
    <mergeCell ref="F58:G58"/>
    <mergeCell ref="H58:J58"/>
    <mergeCell ref="K58:L58"/>
    <mergeCell ref="M58:O58"/>
    <mergeCell ref="B57:C57"/>
    <mergeCell ref="D57:E57"/>
    <mergeCell ref="F57:G57"/>
    <mergeCell ref="H57:J57"/>
    <mergeCell ref="K57:L57"/>
    <mergeCell ref="M57:O57"/>
    <mergeCell ref="B56:C56"/>
    <mergeCell ref="D56:E56"/>
    <mergeCell ref="F56:G56"/>
    <mergeCell ref="H56:J56"/>
    <mergeCell ref="K56:L56"/>
    <mergeCell ref="M56:O56"/>
    <mergeCell ref="B55:C55"/>
    <mergeCell ref="D55:E55"/>
    <mergeCell ref="F55:G55"/>
    <mergeCell ref="H55:J55"/>
    <mergeCell ref="K55:L55"/>
    <mergeCell ref="M55:O55"/>
    <mergeCell ref="B54:C54"/>
    <mergeCell ref="D54:E54"/>
    <mergeCell ref="F54:G54"/>
    <mergeCell ref="H54:J54"/>
    <mergeCell ref="K54:L54"/>
    <mergeCell ref="M54:O54"/>
    <mergeCell ref="B53:C53"/>
    <mergeCell ref="D53:E53"/>
    <mergeCell ref="F53:G53"/>
    <mergeCell ref="H53:J53"/>
    <mergeCell ref="K53:L53"/>
    <mergeCell ref="M53:O53"/>
    <mergeCell ref="A45:C45"/>
    <mergeCell ref="A46:C46"/>
    <mergeCell ref="A47:C47"/>
    <mergeCell ref="A48:C48"/>
    <mergeCell ref="A49:C49"/>
    <mergeCell ref="A51:O51"/>
    <mergeCell ref="A40:J40"/>
    <mergeCell ref="D42:F42"/>
    <mergeCell ref="G42:I42"/>
    <mergeCell ref="J42:L42"/>
    <mergeCell ref="M42:O42"/>
    <mergeCell ref="A44:C44"/>
    <mergeCell ref="B37:E37"/>
    <mergeCell ref="F37:O37"/>
    <mergeCell ref="B38:E38"/>
    <mergeCell ref="F38:O38"/>
    <mergeCell ref="B39:E39"/>
    <mergeCell ref="F39:O39"/>
    <mergeCell ref="B34:E34"/>
    <mergeCell ref="F34:O34"/>
    <mergeCell ref="B35:E35"/>
    <mergeCell ref="F35:O35"/>
    <mergeCell ref="B36:E36"/>
    <mergeCell ref="F36:O36"/>
    <mergeCell ref="A28:O28"/>
    <mergeCell ref="A30:O30"/>
    <mergeCell ref="B32:E32"/>
    <mergeCell ref="F32:O32"/>
    <mergeCell ref="B33:E33"/>
    <mergeCell ref="F33:O33"/>
    <mergeCell ref="A26:B26"/>
    <mergeCell ref="C26:E26"/>
    <mergeCell ref="F26:H26"/>
    <mergeCell ref="I26:K26"/>
    <mergeCell ref="L26:M26"/>
    <mergeCell ref="N26:O26"/>
    <mergeCell ref="A25:B25"/>
    <mergeCell ref="C25:E25"/>
    <mergeCell ref="F25:H25"/>
    <mergeCell ref="I25:K25"/>
    <mergeCell ref="L25:M25"/>
    <mergeCell ref="N25:O25"/>
    <mergeCell ref="A24:B24"/>
    <mergeCell ref="C24:E24"/>
    <mergeCell ref="F24:H24"/>
    <mergeCell ref="I24:K24"/>
    <mergeCell ref="L24:M24"/>
    <mergeCell ref="N24:O24"/>
    <mergeCell ref="A23:B23"/>
    <mergeCell ref="C23:E23"/>
    <mergeCell ref="F23:H23"/>
    <mergeCell ref="I23:K23"/>
    <mergeCell ref="L23:M23"/>
    <mergeCell ref="N23:O23"/>
    <mergeCell ref="A22:B22"/>
    <mergeCell ref="C22:E22"/>
    <mergeCell ref="F22:H22"/>
    <mergeCell ref="I22:K22"/>
    <mergeCell ref="L22:M22"/>
    <mergeCell ref="N22:O22"/>
    <mergeCell ref="A21:B21"/>
    <mergeCell ref="C21:E21"/>
    <mergeCell ref="F21:H21"/>
    <mergeCell ref="I21:K21"/>
    <mergeCell ref="L21:M21"/>
    <mergeCell ref="N21:O21"/>
    <mergeCell ref="A20:B20"/>
    <mergeCell ref="C20:E20"/>
    <mergeCell ref="F20:H20"/>
    <mergeCell ref="I20:K20"/>
    <mergeCell ref="L20:M20"/>
    <mergeCell ref="N20:O20"/>
    <mergeCell ref="A19:B19"/>
    <mergeCell ref="C19:E19"/>
    <mergeCell ref="F19:H19"/>
    <mergeCell ref="I19:K19"/>
    <mergeCell ref="L19:M19"/>
    <mergeCell ref="N19:O19"/>
    <mergeCell ref="A18:B18"/>
    <mergeCell ref="C18:E18"/>
    <mergeCell ref="F18:H18"/>
    <mergeCell ref="I18:K18"/>
    <mergeCell ref="L18:M18"/>
    <mergeCell ref="N18:O18"/>
    <mergeCell ref="A17:B17"/>
    <mergeCell ref="C17:E17"/>
    <mergeCell ref="F17:H17"/>
    <mergeCell ref="I17:K17"/>
    <mergeCell ref="L17:M17"/>
    <mergeCell ref="N17:O17"/>
    <mergeCell ref="A16:B16"/>
    <mergeCell ref="C16:E16"/>
    <mergeCell ref="F16:H16"/>
    <mergeCell ref="I16:K16"/>
    <mergeCell ref="L16:M16"/>
    <mergeCell ref="N16:O16"/>
    <mergeCell ref="A15:B15"/>
    <mergeCell ref="C15:E15"/>
    <mergeCell ref="F15:H15"/>
    <mergeCell ref="I15:K15"/>
    <mergeCell ref="L15:M15"/>
    <mergeCell ref="N15:O15"/>
    <mergeCell ref="A14:B14"/>
    <mergeCell ref="C14:E14"/>
    <mergeCell ref="F14:H14"/>
    <mergeCell ref="I14:K14"/>
    <mergeCell ref="L14:M14"/>
    <mergeCell ref="N14:O14"/>
    <mergeCell ref="A13:B13"/>
    <mergeCell ref="C13:E13"/>
    <mergeCell ref="F13:H13"/>
    <mergeCell ref="I13:K13"/>
    <mergeCell ref="L13:M13"/>
    <mergeCell ref="N13:O13"/>
    <mergeCell ref="A12:B12"/>
    <mergeCell ref="C12:E12"/>
    <mergeCell ref="F12:H12"/>
    <mergeCell ref="I12:K12"/>
    <mergeCell ref="L12:M12"/>
    <mergeCell ref="N12:O12"/>
    <mergeCell ref="A11:B11"/>
    <mergeCell ref="C11:E11"/>
    <mergeCell ref="F11:H11"/>
    <mergeCell ref="I11:K11"/>
    <mergeCell ref="L11:M11"/>
    <mergeCell ref="N11:O11"/>
    <mergeCell ref="A10:B10"/>
    <mergeCell ref="C10:E10"/>
    <mergeCell ref="F10:H10"/>
    <mergeCell ref="I10:K10"/>
    <mergeCell ref="L10:M10"/>
    <mergeCell ref="N10:O10"/>
    <mergeCell ref="A9:B9"/>
    <mergeCell ref="C9:E9"/>
    <mergeCell ref="F9:H9"/>
    <mergeCell ref="I9:K9"/>
    <mergeCell ref="L9:M9"/>
    <mergeCell ref="N9:O9"/>
    <mergeCell ref="A1:O1"/>
    <mergeCell ref="A2:O2"/>
    <mergeCell ref="A3:O3"/>
    <mergeCell ref="A4:O4"/>
    <mergeCell ref="A5:O5"/>
    <mergeCell ref="A7:O7"/>
  </mergeCells>
  <printOptions/>
  <pageMargins left="0.590277777777778" right="0.590277777777778" top="0.786805555555556" bottom="0.786805555555556" header="0.313888888888889" footer="0.15625"/>
  <pageSetup horizontalDpi="600" verticalDpi="600" orientation="landscape" paperSize="9" scale="49" r:id="rId1"/>
  <headerFooter alignWithMargins="0">
    <oddHeader xml:space="preserve">&amp;C
&amp;"Times New Roman,обычный"&amp;16 &amp;14 13&amp;R&amp;"Times New Roman,обычный"&amp;14Продовження додатка 3
Таблиця 6  </oddHeader>
  </headerFooter>
  <rowBreaks count="1" manualBreakCount="1">
    <brk id="39" max="14" man="1"/>
  </rowBreaks>
  <ignoredErrors>
    <ignoredError sqref="D49:G49" formulaRange="1"/>
    <ignoredError sqref="L23:M26 O12:O26 C23:C25 D25:E26 F23:K26 D23:E24 O11 N11:N26 M45:O48" evalError="1"/>
  </ignoredErrors>
</worksheet>
</file>

<file path=xl/worksheets/sheet8.xml><?xml version="1.0" encoding="utf-8"?>
<worksheet xmlns="http://schemas.openxmlformats.org/spreadsheetml/2006/main" xmlns:r="http://schemas.openxmlformats.org/officeDocument/2006/relationships">
  <sheetPr>
    <tabColor indexed="43"/>
    <pageSetUpPr fitToPage="1"/>
  </sheetPr>
  <dimension ref="A1:AF73"/>
  <sheetViews>
    <sheetView view="pageBreakPreview" zoomScale="60" zoomScaleNormal="50" zoomScalePageLayoutView="0" workbookViewId="0" topLeftCell="A1">
      <selection activeCell="T79" sqref="R79:T80"/>
    </sheetView>
  </sheetViews>
  <sheetFormatPr defaultColWidth="9.00390625" defaultRowHeight="12.75"/>
  <cols>
    <col min="1" max="2" width="4.375" style="6" customWidth="1"/>
    <col min="3" max="3" width="28.75390625" style="6" customWidth="1"/>
    <col min="4" max="6" width="8.375" style="6" customWidth="1"/>
    <col min="7" max="9" width="11.25390625" style="6" customWidth="1"/>
    <col min="10" max="10" width="8.75390625" style="6" customWidth="1"/>
    <col min="11" max="11" width="7.00390625" style="6" customWidth="1"/>
    <col min="12" max="12" width="9.00390625" style="6" customWidth="1"/>
    <col min="13" max="13" width="12.25390625" style="6" customWidth="1"/>
    <col min="14" max="14" width="12.625" style="6" customWidth="1"/>
    <col min="15" max="15" width="14.625" style="6" customWidth="1"/>
    <col min="16" max="16" width="14.00390625" style="6" customWidth="1"/>
    <col min="17" max="17" width="12.625" style="6" customWidth="1"/>
    <col min="18" max="18" width="12.25390625" style="6" customWidth="1"/>
    <col min="19" max="19" width="14.625" style="6" customWidth="1"/>
    <col min="20" max="20" width="14.00390625" style="6" customWidth="1"/>
    <col min="21" max="21" width="12.625" style="6" customWidth="1"/>
    <col min="22" max="22" width="12.25390625" style="6" customWidth="1"/>
    <col min="23" max="23" width="14.875" style="6" customWidth="1"/>
    <col min="24" max="24" width="14.00390625" style="6" customWidth="1"/>
    <col min="25" max="25" width="12.625" style="6" customWidth="1"/>
    <col min="26" max="26" width="12.25390625" style="6" customWidth="1"/>
    <col min="27" max="27" width="14.625" style="6" customWidth="1"/>
    <col min="28" max="28" width="13.75390625" style="6" customWidth="1"/>
    <col min="29" max="29" width="12.25390625" style="6" customWidth="1"/>
    <col min="30" max="30" width="12.00390625" style="6" customWidth="1"/>
    <col min="31" max="31" width="14.625" style="6" customWidth="1"/>
    <col min="32" max="32" width="14.00390625" style="6" customWidth="1"/>
    <col min="33" max="33" width="9.125" style="6" bestFit="1" customWidth="1"/>
    <col min="34" max="16384" width="9.125" style="6" customWidth="1"/>
  </cols>
  <sheetData>
    <row r="1" spans="3:32" ht="18.75" customHeight="1">
      <c r="C1" s="1" t="s">
        <v>410</v>
      </c>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8.7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45.75" customHeight="1">
      <c r="A3" s="501" t="s">
        <v>411</v>
      </c>
      <c r="B3" s="514" t="s">
        <v>412</v>
      </c>
      <c r="C3" s="515"/>
      <c r="D3" s="435" t="s">
        <v>413</v>
      </c>
      <c r="E3" s="436"/>
      <c r="F3" s="436"/>
      <c r="G3" s="435" t="s">
        <v>414</v>
      </c>
      <c r="H3" s="436"/>
      <c r="I3" s="436"/>
      <c r="J3" s="436"/>
      <c r="K3" s="436"/>
      <c r="L3" s="436"/>
      <c r="M3" s="436"/>
      <c r="N3" s="436"/>
      <c r="O3" s="436"/>
      <c r="P3" s="436"/>
      <c r="Q3" s="437"/>
      <c r="R3" s="401" t="s">
        <v>415</v>
      </c>
      <c r="S3" s="402"/>
      <c r="T3" s="402"/>
      <c r="U3" s="402"/>
      <c r="V3" s="402"/>
      <c r="W3" s="402"/>
      <c r="X3" s="402"/>
      <c r="Y3" s="402"/>
      <c r="Z3" s="410"/>
      <c r="AA3" s="326" t="s">
        <v>416</v>
      </c>
      <c r="AB3" s="345"/>
      <c r="AC3" s="345"/>
      <c r="AD3" s="326" t="s">
        <v>417</v>
      </c>
      <c r="AE3" s="345"/>
      <c r="AF3" s="345"/>
    </row>
    <row r="4" spans="1:32" ht="77.25" customHeight="1">
      <c r="A4" s="502"/>
      <c r="B4" s="516"/>
      <c r="C4" s="517"/>
      <c r="D4" s="438"/>
      <c r="E4" s="439"/>
      <c r="F4" s="439"/>
      <c r="G4" s="438"/>
      <c r="H4" s="439"/>
      <c r="I4" s="439"/>
      <c r="J4" s="439"/>
      <c r="K4" s="439"/>
      <c r="L4" s="439"/>
      <c r="M4" s="439"/>
      <c r="N4" s="439"/>
      <c r="O4" s="439"/>
      <c r="P4" s="439"/>
      <c r="Q4" s="440"/>
      <c r="R4" s="376" t="s">
        <v>418</v>
      </c>
      <c r="S4" s="374"/>
      <c r="T4" s="375"/>
      <c r="U4" s="376" t="s">
        <v>419</v>
      </c>
      <c r="V4" s="374"/>
      <c r="W4" s="375"/>
      <c r="X4" s="376" t="s">
        <v>420</v>
      </c>
      <c r="Y4" s="374"/>
      <c r="Z4" s="375"/>
      <c r="AA4" s="345"/>
      <c r="AB4" s="345"/>
      <c r="AC4" s="345"/>
      <c r="AD4" s="345"/>
      <c r="AE4" s="345"/>
      <c r="AF4" s="345"/>
    </row>
    <row r="5" spans="1:32" ht="18.75" customHeight="1">
      <c r="A5" s="10">
        <v>1</v>
      </c>
      <c r="B5" s="442">
        <v>2</v>
      </c>
      <c r="C5" s="443"/>
      <c r="D5" s="444">
        <v>3</v>
      </c>
      <c r="E5" s="445"/>
      <c r="F5" s="445"/>
      <c r="G5" s="444">
        <v>4</v>
      </c>
      <c r="H5" s="445"/>
      <c r="I5" s="445"/>
      <c r="J5" s="445"/>
      <c r="K5" s="445"/>
      <c r="L5" s="445"/>
      <c r="M5" s="445"/>
      <c r="N5" s="445"/>
      <c r="O5" s="445"/>
      <c r="P5" s="445"/>
      <c r="Q5" s="446"/>
      <c r="R5" s="444">
        <v>5</v>
      </c>
      <c r="S5" s="445"/>
      <c r="T5" s="446"/>
      <c r="U5" s="444">
        <v>6</v>
      </c>
      <c r="V5" s="445"/>
      <c r="W5" s="446"/>
      <c r="X5" s="447">
        <v>7</v>
      </c>
      <c r="Y5" s="448"/>
      <c r="Z5" s="449"/>
      <c r="AA5" s="447">
        <v>8</v>
      </c>
      <c r="AB5" s="448"/>
      <c r="AC5" s="449"/>
      <c r="AD5" s="447">
        <v>9</v>
      </c>
      <c r="AE5" s="448"/>
      <c r="AF5" s="449"/>
    </row>
    <row r="6" spans="1:32" ht="19.5" customHeight="1">
      <c r="A6" s="10"/>
      <c r="B6" s="450"/>
      <c r="C6" s="451"/>
      <c r="D6" s="452"/>
      <c r="E6" s="453"/>
      <c r="F6" s="453"/>
      <c r="G6" s="452"/>
      <c r="H6" s="453"/>
      <c r="I6" s="453"/>
      <c r="J6" s="453"/>
      <c r="K6" s="453"/>
      <c r="L6" s="453"/>
      <c r="M6" s="453"/>
      <c r="N6" s="453"/>
      <c r="O6" s="453"/>
      <c r="P6" s="453"/>
      <c r="Q6" s="454"/>
      <c r="R6" s="414"/>
      <c r="S6" s="455"/>
      <c r="T6" s="415"/>
      <c r="U6" s="414"/>
      <c r="V6" s="455"/>
      <c r="W6" s="415"/>
      <c r="X6" s="414"/>
      <c r="Y6" s="455"/>
      <c r="Z6" s="415"/>
      <c r="AA6" s="414">
        <f>X6-U6</f>
        <v>0</v>
      </c>
      <c r="AB6" s="455"/>
      <c r="AC6" s="415"/>
      <c r="AD6" s="456" t="e">
        <f>(X6/U6)*100</f>
        <v>#DIV/0!</v>
      </c>
      <c r="AE6" s="457"/>
      <c r="AF6" s="458"/>
    </row>
    <row r="7" spans="1:32" ht="19.5" customHeight="1">
      <c r="A7" s="10"/>
      <c r="B7" s="450"/>
      <c r="C7" s="451"/>
      <c r="D7" s="452"/>
      <c r="E7" s="453"/>
      <c r="F7" s="453"/>
      <c r="G7" s="452"/>
      <c r="H7" s="453"/>
      <c r="I7" s="453"/>
      <c r="J7" s="453"/>
      <c r="K7" s="453"/>
      <c r="L7" s="453"/>
      <c r="M7" s="453"/>
      <c r="N7" s="453"/>
      <c r="O7" s="453"/>
      <c r="P7" s="453"/>
      <c r="Q7" s="454"/>
      <c r="R7" s="414"/>
      <c r="S7" s="455"/>
      <c r="T7" s="415"/>
      <c r="U7" s="414"/>
      <c r="V7" s="455"/>
      <c r="W7" s="415"/>
      <c r="X7" s="414"/>
      <c r="Y7" s="455"/>
      <c r="Z7" s="415"/>
      <c r="AA7" s="414">
        <f>X7-U7</f>
        <v>0</v>
      </c>
      <c r="AB7" s="455"/>
      <c r="AC7" s="415"/>
      <c r="AD7" s="456" t="e">
        <f>(X7/U7)*100</f>
        <v>#DIV/0!</v>
      </c>
      <c r="AE7" s="457"/>
      <c r="AF7" s="458"/>
    </row>
    <row r="8" spans="1:32" ht="19.5" customHeight="1">
      <c r="A8" s="10"/>
      <c r="B8" s="450"/>
      <c r="C8" s="451"/>
      <c r="D8" s="452"/>
      <c r="E8" s="453"/>
      <c r="F8" s="453"/>
      <c r="G8" s="452"/>
      <c r="H8" s="453"/>
      <c r="I8" s="453"/>
      <c r="J8" s="453"/>
      <c r="K8" s="453"/>
      <c r="L8" s="453"/>
      <c r="M8" s="453"/>
      <c r="N8" s="453"/>
      <c r="O8" s="453"/>
      <c r="P8" s="453"/>
      <c r="Q8" s="454"/>
      <c r="R8" s="414"/>
      <c r="S8" s="455"/>
      <c r="T8" s="415"/>
      <c r="U8" s="414"/>
      <c r="V8" s="455"/>
      <c r="W8" s="415"/>
      <c r="X8" s="414"/>
      <c r="Y8" s="455"/>
      <c r="Z8" s="415"/>
      <c r="AA8" s="414">
        <f>X8-U8</f>
        <v>0</v>
      </c>
      <c r="AB8" s="455"/>
      <c r="AC8" s="415"/>
      <c r="AD8" s="456" t="e">
        <f>(X8/U8)*100</f>
        <v>#DIV/0!</v>
      </c>
      <c r="AE8" s="457"/>
      <c r="AF8" s="458"/>
    </row>
    <row r="9" spans="1:32" ht="19.5" customHeight="1">
      <c r="A9" s="10"/>
      <c r="B9" s="450"/>
      <c r="C9" s="451"/>
      <c r="D9" s="452"/>
      <c r="E9" s="453"/>
      <c r="F9" s="453"/>
      <c r="G9" s="452"/>
      <c r="H9" s="453"/>
      <c r="I9" s="453"/>
      <c r="J9" s="453"/>
      <c r="K9" s="453"/>
      <c r="L9" s="453"/>
      <c r="M9" s="453"/>
      <c r="N9" s="453"/>
      <c r="O9" s="453"/>
      <c r="P9" s="453"/>
      <c r="Q9" s="454"/>
      <c r="R9" s="414"/>
      <c r="S9" s="455"/>
      <c r="T9" s="415"/>
      <c r="U9" s="414"/>
      <c r="V9" s="455"/>
      <c r="W9" s="415"/>
      <c r="X9" s="414"/>
      <c r="Y9" s="455"/>
      <c r="Z9" s="415"/>
      <c r="AA9" s="414">
        <f>X9-U9</f>
        <v>0</v>
      </c>
      <c r="AB9" s="455"/>
      <c r="AC9" s="415"/>
      <c r="AD9" s="456" t="e">
        <f>(X9/U9)*100</f>
        <v>#DIV/0!</v>
      </c>
      <c r="AE9" s="457"/>
      <c r="AF9" s="458"/>
    </row>
    <row r="10" spans="1:32" ht="24.75" customHeight="1">
      <c r="A10" s="462" t="s">
        <v>92</v>
      </c>
      <c r="B10" s="463"/>
      <c r="C10" s="463"/>
      <c r="D10" s="463"/>
      <c r="E10" s="463"/>
      <c r="F10" s="463"/>
      <c r="G10" s="463"/>
      <c r="H10" s="463"/>
      <c r="I10" s="463"/>
      <c r="J10" s="463"/>
      <c r="K10" s="463"/>
      <c r="L10" s="463"/>
      <c r="M10" s="463"/>
      <c r="N10" s="463"/>
      <c r="O10" s="463"/>
      <c r="P10" s="463"/>
      <c r="Q10" s="464"/>
      <c r="R10" s="429">
        <f>SUM(R6:R9)</f>
        <v>0</v>
      </c>
      <c r="S10" s="465"/>
      <c r="T10" s="430"/>
      <c r="U10" s="429">
        <f>SUM(U6:U9)</f>
        <v>0</v>
      </c>
      <c r="V10" s="465"/>
      <c r="W10" s="430"/>
      <c r="X10" s="429">
        <f>SUM(X6:X9)</f>
        <v>0</v>
      </c>
      <c r="Y10" s="465"/>
      <c r="Z10" s="430"/>
      <c r="AA10" s="466">
        <f>X10-U10</f>
        <v>0</v>
      </c>
      <c r="AB10" s="467"/>
      <c r="AC10" s="468"/>
      <c r="AD10" s="478" t="e">
        <f>(X10/U10)*100</f>
        <v>#DIV/0!</v>
      </c>
      <c r="AE10" s="479"/>
      <c r="AF10" s="480"/>
    </row>
    <row r="11" spans="1:32" ht="11.25" customHeight="1">
      <c r="A11" s="11"/>
      <c r="B11" s="11"/>
      <c r="C11" s="11"/>
      <c r="D11" s="11"/>
      <c r="E11" s="11"/>
      <c r="F11" s="11"/>
      <c r="G11" s="11"/>
      <c r="H11" s="11"/>
      <c r="I11" s="11"/>
      <c r="J11" s="11"/>
      <c r="K11" s="11"/>
      <c r="L11" s="11"/>
      <c r="M11" s="11"/>
      <c r="N11" s="29"/>
      <c r="O11" s="29"/>
      <c r="P11" s="29"/>
      <c r="Q11" s="29"/>
      <c r="R11" s="29"/>
      <c r="S11" s="29"/>
      <c r="T11" s="29"/>
      <c r="U11" s="29"/>
      <c r="V11" s="29"/>
      <c r="W11" s="29"/>
      <c r="X11" s="29"/>
      <c r="Y11" s="29"/>
      <c r="Z11" s="29"/>
      <c r="AA11" s="29"/>
      <c r="AB11" s="29"/>
      <c r="AC11" s="29"/>
      <c r="AD11" s="29"/>
      <c r="AE11" s="49"/>
      <c r="AF11" s="49"/>
    </row>
    <row r="12" spans="1:32" ht="10.5" customHeight="1">
      <c r="A12" s="12"/>
      <c r="B12" s="12"/>
      <c r="C12" s="12"/>
      <c r="D12" s="12"/>
      <c r="E12" s="12"/>
      <c r="F12" s="12"/>
      <c r="G12" s="12"/>
      <c r="H12" s="12"/>
      <c r="I12" s="12"/>
      <c r="J12" s="12"/>
      <c r="K12" s="12"/>
      <c r="L12" s="12"/>
      <c r="M12" s="12"/>
      <c r="N12" s="30"/>
      <c r="O12" s="30"/>
      <c r="P12" s="30"/>
      <c r="Q12" s="30"/>
      <c r="R12" s="43"/>
      <c r="S12" s="43"/>
      <c r="T12" s="43"/>
      <c r="U12" s="43"/>
      <c r="V12" s="43"/>
      <c r="W12" s="43"/>
      <c r="X12" s="44"/>
      <c r="Y12" s="44"/>
      <c r="Z12" s="44"/>
      <c r="AA12" s="44"/>
      <c r="AB12" s="44"/>
      <c r="AC12" s="44"/>
      <c r="AD12" s="44"/>
      <c r="AE12" s="50"/>
      <c r="AF12" s="50"/>
    </row>
    <row r="13" s="1" customFormat="1" ht="18.75" customHeight="1">
      <c r="C13" s="1" t="s">
        <v>421</v>
      </c>
    </row>
    <row r="14" s="1" customFormat="1" ht="18.75" customHeight="1"/>
    <row r="15" spans="1:32" ht="45.75" customHeight="1">
      <c r="A15" s="364" t="s">
        <v>411</v>
      </c>
      <c r="B15" s="514" t="s">
        <v>422</v>
      </c>
      <c r="C15" s="515"/>
      <c r="D15" s="326" t="s">
        <v>412</v>
      </c>
      <c r="E15" s="326"/>
      <c r="F15" s="326"/>
      <c r="G15" s="326"/>
      <c r="H15" s="435" t="s">
        <v>414</v>
      </c>
      <c r="I15" s="436"/>
      <c r="J15" s="436"/>
      <c r="K15" s="436"/>
      <c r="L15" s="436"/>
      <c r="M15" s="436"/>
      <c r="N15" s="436"/>
      <c r="O15" s="437"/>
      <c r="P15" s="435" t="s">
        <v>423</v>
      </c>
      <c r="Q15" s="437"/>
      <c r="R15" s="401" t="s">
        <v>415</v>
      </c>
      <c r="S15" s="402"/>
      <c r="T15" s="402"/>
      <c r="U15" s="402"/>
      <c r="V15" s="402"/>
      <c r="W15" s="402"/>
      <c r="X15" s="402"/>
      <c r="Y15" s="402"/>
      <c r="Z15" s="410"/>
      <c r="AA15" s="326" t="s">
        <v>416</v>
      </c>
      <c r="AB15" s="345"/>
      <c r="AC15" s="345"/>
      <c r="AD15" s="326" t="s">
        <v>417</v>
      </c>
      <c r="AE15" s="345"/>
      <c r="AF15" s="345"/>
    </row>
    <row r="16" spans="1:32" ht="24.75" customHeight="1">
      <c r="A16" s="364"/>
      <c r="B16" s="524"/>
      <c r="C16" s="526"/>
      <c r="D16" s="326"/>
      <c r="E16" s="326"/>
      <c r="F16" s="326"/>
      <c r="G16" s="326"/>
      <c r="H16" s="459"/>
      <c r="I16" s="460"/>
      <c r="J16" s="460"/>
      <c r="K16" s="460"/>
      <c r="L16" s="460"/>
      <c r="M16" s="460"/>
      <c r="N16" s="460"/>
      <c r="O16" s="461"/>
      <c r="P16" s="459"/>
      <c r="Q16" s="461"/>
      <c r="R16" s="435" t="s">
        <v>418</v>
      </c>
      <c r="S16" s="436"/>
      <c r="T16" s="437"/>
      <c r="U16" s="435" t="s">
        <v>419</v>
      </c>
      <c r="V16" s="436"/>
      <c r="W16" s="437"/>
      <c r="X16" s="435" t="s">
        <v>420</v>
      </c>
      <c r="Y16" s="518"/>
      <c r="Z16" s="519"/>
      <c r="AA16" s="345"/>
      <c r="AB16" s="345"/>
      <c r="AC16" s="345"/>
      <c r="AD16" s="345"/>
      <c r="AE16" s="345"/>
      <c r="AF16" s="345"/>
    </row>
    <row r="17" spans="1:32" ht="48" customHeight="1">
      <c r="A17" s="364"/>
      <c r="B17" s="516"/>
      <c r="C17" s="517"/>
      <c r="D17" s="326"/>
      <c r="E17" s="326"/>
      <c r="F17" s="326"/>
      <c r="G17" s="326"/>
      <c r="H17" s="438"/>
      <c r="I17" s="439"/>
      <c r="J17" s="439"/>
      <c r="K17" s="439"/>
      <c r="L17" s="439"/>
      <c r="M17" s="439"/>
      <c r="N17" s="439"/>
      <c r="O17" s="440"/>
      <c r="P17" s="438"/>
      <c r="Q17" s="440"/>
      <c r="R17" s="438"/>
      <c r="S17" s="439"/>
      <c r="T17" s="440"/>
      <c r="U17" s="438"/>
      <c r="V17" s="439"/>
      <c r="W17" s="440"/>
      <c r="X17" s="520"/>
      <c r="Y17" s="521"/>
      <c r="Z17" s="522"/>
      <c r="AA17" s="345"/>
      <c r="AB17" s="345"/>
      <c r="AC17" s="345"/>
      <c r="AD17" s="345"/>
      <c r="AE17" s="345"/>
      <c r="AF17" s="345"/>
    </row>
    <row r="18" spans="1:32" ht="18.75" customHeight="1">
      <c r="A18" s="14">
        <v>1</v>
      </c>
      <c r="B18" s="442">
        <v>2</v>
      </c>
      <c r="C18" s="443"/>
      <c r="D18" s="469">
        <v>3</v>
      </c>
      <c r="E18" s="469"/>
      <c r="F18" s="469"/>
      <c r="G18" s="469"/>
      <c r="H18" s="444">
        <v>4</v>
      </c>
      <c r="I18" s="445"/>
      <c r="J18" s="445"/>
      <c r="K18" s="445"/>
      <c r="L18" s="445"/>
      <c r="M18" s="445"/>
      <c r="N18" s="445"/>
      <c r="O18" s="446"/>
      <c r="P18" s="444">
        <v>5</v>
      </c>
      <c r="Q18" s="446"/>
      <c r="R18" s="444">
        <v>6</v>
      </c>
      <c r="S18" s="445"/>
      <c r="T18" s="446"/>
      <c r="U18" s="444">
        <v>7</v>
      </c>
      <c r="V18" s="445"/>
      <c r="W18" s="446"/>
      <c r="X18" s="444">
        <v>8</v>
      </c>
      <c r="Y18" s="445"/>
      <c r="Z18" s="446"/>
      <c r="AA18" s="444">
        <v>9</v>
      </c>
      <c r="AB18" s="445"/>
      <c r="AC18" s="446"/>
      <c r="AD18" s="444">
        <v>10</v>
      </c>
      <c r="AE18" s="445"/>
      <c r="AF18" s="446"/>
    </row>
    <row r="19" spans="1:32" ht="19.5" customHeight="1">
      <c r="A19" s="15"/>
      <c r="B19" s="470"/>
      <c r="C19" s="471"/>
      <c r="D19" s="472"/>
      <c r="E19" s="472"/>
      <c r="F19" s="472"/>
      <c r="G19" s="472"/>
      <c r="H19" s="473"/>
      <c r="I19" s="474"/>
      <c r="J19" s="474"/>
      <c r="K19" s="474"/>
      <c r="L19" s="474"/>
      <c r="M19" s="474"/>
      <c r="N19" s="474"/>
      <c r="O19" s="475"/>
      <c r="P19" s="476"/>
      <c r="Q19" s="477"/>
      <c r="R19" s="414"/>
      <c r="S19" s="455"/>
      <c r="T19" s="415"/>
      <c r="U19" s="414"/>
      <c r="V19" s="455"/>
      <c r="W19" s="415"/>
      <c r="X19" s="414"/>
      <c r="Y19" s="455"/>
      <c r="Z19" s="415"/>
      <c r="AA19" s="414">
        <f>X19-U19</f>
        <v>0</v>
      </c>
      <c r="AB19" s="455"/>
      <c r="AC19" s="415"/>
      <c r="AD19" s="456" t="e">
        <f>(X19/U19)*100</f>
        <v>#DIV/0!</v>
      </c>
      <c r="AE19" s="457"/>
      <c r="AF19" s="458"/>
    </row>
    <row r="20" spans="1:32" ht="19.5" customHeight="1">
      <c r="A20" s="15"/>
      <c r="B20" s="470"/>
      <c r="C20" s="471"/>
      <c r="D20" s="472"/>
      <c r="E20" s="472"/>
      <c r="F20" s="472"/>
      <c r="G20" s="472"/>
      <c r="H20" s="473"/>
      <c r="I20" s="474"/>
      <c r="J20" s="474"/>
      <c r="K20" s="474"/>
      <c r="L20" s="474"/>
      <c r="M20" s="474"/>
      <c r="N20" s="474"/>
      <c r="O20" s="475"/>
      <c r="P20" s="476"/>
      <c r="Q20" s="477"/>
      <c r="R20" s="414"/>
      <c r="S20" s="455"/>
      <c r="T20" s="415"/>
      <c r="U20" s="414"/>
      <c r="V20" s="455"/>
      <c r="W20" s="415"/>
      <c r="X20" s="414"/>
      <c r="Y20" s="455"/>
      <c r="Z20" s="415"/>
      <c r="AA20" s="414">
        <f>X20-U20</f>
        <v>0</v>
      </c>
      <c r="AB20" s="455"/>
      <c r="AC20" s="415"/>
      <c r="AD20" s="456" t="e">
        <f>(X20/U20)*100</f>
        <v>#DIV/0!</v>
      </c>
      <c r="AE20" s="457"/>
      <c r="AF20" s="458"/>
    </row>
    <row r="21" spans="1:32" ht="19.5" customHeight="1">
      <c r="A21" s="15"/>
      <c r="B21" s="470"/>
      <c r="C21" s="471"/>
      <c r="D21" s="472"/>
      <c r="E21" s="472"/>
      <c r="F21" s="472"/>
      <c r="G21" s="472"/>
      <c r="H21" s="473"/>
      <c r="I21" s="474"/>
      <c r="J21" s="474"/>
      <c r="K21" s="474"/>
      <c r="L21" s="474"/>
      <c r="M21" s="474"/>
      <c r="N21" s="474"/>
      <c r="O21" s="475"/>
      <c r="P21" s="476"/>
      <c r="Q21" s="477"/>
      <c r="R21" s="414"/>
      <c r="S21" s="455"/>
      <c r="T21" s="415"/>
      <c r="U21" s="414"/>
      <c r="V21" s="455"/>
      <c r="W21" s="415"/>
      <c r="X21" s="414"/>
      <c r="Y21" s="455"/>
      <c r="Z21" s="415"/>
      <c r="AA21" s="414">
        <f>X21-U21</f>
        <v>0</v>
      </c>
      <c r="AB21" s="455"/>
      <c r="AC21" s="415"/>
      <c r="AD21" s="456" t="e">
        <f>(X21/U21)*100</f>
        <v>#DIV/0!</v>
      </c>
      <c r="AE21" s="457"/>
      <c r="AF21" s="458"/>
    </row>
    <row r="22" spans="1:32" ht="19.5" customHeight="1">
      <c r="A22" s="15"/>
      <c r="B22" s="470"/>
      <c r="C22" s="471"/>
      <c r="D22" s="472"/>
      <c r="E22" s="472"/>
      <c r="F22" s="472"/>
      <c r="G22" s="472"/>
      <c r="H22" s="473"/>
      <c r="I22" s="474"/>
      <c r="J22" s="474"/>
      <c r="K22" s="474"/>
      <c r="L22" s="474"/>
      <c r="M22" s="474"/>
      <c r="N22" s="474"/>
      <c r="O22" s="475"/>
      <c r="P22" s="476"/>
      <c r="Q22" s="477"/>
      <c r="R22" s="414"/>
      <c r="S22" s="455"/>
      <c r="T22" s="415"/>
      <c r="U22" s="414"/>
      <c r="V22" s="455"/>
      <c r="W22" s="415"/>
      <c r="X22" s="414"/>
      <c r="Y22" s="455"/>
      <c r="Z22" s="415"/>
      <c r="AA22" s="414">
        <f>X22-U22</f>
        <v>0</v>
      </c>
      <c r="AB22" s="455"/>
      <c r="AC22" s="415"/>
      <c r="AD22" s="456" t="e">
        <f>(X22/U22)*100</f>
        <v>#DIV/0!</v>
      </c>
      <c r="AE22" s="457"/>
      <c r="AF22" s="458"/>
    </row>
    <row r="23" spans="1:32" ht="24.75" customHeight="1">
      <c r="A23" s="462" t="s">
        <v>92</v>
      </c>
      <c r="B23" s="463"/>
      <c r="C23" s="463"/>
      <c r="D23" s="463"/>
      <c r="E23" s="463"/>
      <c r="F23" s="463"/>
      <c r="G23" s="463"/>
      <c r="H23" s="463"/>
      <c r="I23" s="463"/>
      <c r="J23" s="463"/>
      <c r="K23" s="463"/>
      <c r="L23" s="463"/>
      <c r="M23" s="463"/>
      <c r="N23" s="463"/>
      <c r="O23" s="463"/>
      <c r="P23" s="463"/>
      <c r="Q23" s="464"/>
      <c r="R23" s="429">
        <f>SUM(R19:R22)</f>
        <v>0</v>
      </c>
      <c r="S23" s="465"/>
      <c r="T23" s="430"/>
      <c r="U23" s="429">
        <f>SUM(U19:U22)</f>
        <v>0</v>
      </c>
      <c r="V23" s="465"/>
      <c r="W23" s="430"/>
      <c r="X23" s="429">
        <f>SUM(X19:X22)</f>
        <v>0</v>
      </c>
      <c r="Y23" s="465"/>
      <c r="Z23" s="430"/>
      <c r="AA23" s="466">
        <f>X23-U23</f>
        <v>0</v>
      </c>
      <c r="AB23" s="467"/>
      <c r="AC23" s="468"/>
      <c r="AD23" s="478" t="e">
        <f>(X23/U23)*100</f>
        <v>#DIV/0!</v>
      </c>
      <c r="AE23" s="479"/>
      <c r="AF23" s="480"/>
    </row>
    <row r="24" spans="1:32" ht="18.75">
      <c r="A24" s="16"/>
      <c r="B24" s="16"/>
      <c r="C24" s="16"/>
      <c r="D24" s="16"/>
      <c r="E24" s="16"/>
      <c r="F24" s="16"/>
      <c r="G24" s="16"/>
      <c r="H24" s="16"/>
      <c r="I24" s="16"/>
      <c r="J24" s="16"/>
      <c r="K24" s="16"/>
      <c r="L24" s="16"/>
      <c r="M24" s="16"/>
      <c r="N24" s="16"/>
      <c r="O24" s="16"/>
      <c r="P24" s="16"/>
      <c r="R24" s="45"/>
      <c r="S24" s="45"/>
      <c r="T24" s="45"/>
      <c r="U24" s="45"/>
      <c r="V24" s="45"/>
      <c r="AF24" s="45"/>
    </row>
    <row r="25" spans="1:32" ht="16.5" customHeight="1">
      <c r="A25" s="16"/>
      <c r="B25" s="16"/>
      <c r="C25" s="16"/>
      <c r="D25" s="16"/>
      <c r="E25" s="16"/>
      <c r="F25" s="16"/>
      <c r="G25" s="16"/>
      <c r="H25" s="16"/>
      <c r="I25" s="16"/>
      <c r="J25" s="16"/>
      <c r="K25" s="16"/>
      <c r="L25" s="16"/>
      <c r="M25" s="16"/>
      <c r="N25" s="16"/>
      <c r="O25" s="16"/>
      <c r="P25" s="16"/>
      <c r="R25" s="45"/>
      <c r="S25" s="45"/>
      <c r="T25" s="45"/>
      <c r="U25" s="45"/>
      <c r="V25" s="45"/>
      <c r="AF25" s="45"/>
    </row>
    <row r="26" s="1" customFormat="1" ht="18.75" customHeight="1">
      <c r="C26" s="1" t="s">
        <v>424</v>
      </c>
    </row>
    <row r="27" spans="1:32" ht="18.75">
      <c r="A27" s="17"/>
      <c r="B27" s="17"/>
      <c r="C27" s="17"/>
      <c r="D27" s="17"/>
      <c r="E27" s="17"/>
      <c r="F27" s="17"/>
      <c r="G27" s="17"/>
      <c r="H27" s="17"/>
      <c r="I27" s="32"/>
      <c r="J27" s="32"/>
      <c r="K27" s="32"/>
      <c r="L27" s="32"/>
      <c r="M27" s="32"/>
      <c r="N27" s="32"/>
      <c r="O27" s="32"/>
      <c r="P27" s="32"/>
      <c r="Q27" s="32"/>
      <c r="R27" s="32"/>
      <c r="S27" s="32"/>
      <c r="T27" s="32"/>
      <c r="U27" s="32"/>
      <c r="V27" s="32"/>
      <c r="W27" s="17"/>
      <c r="Z27" s="485"/>
      <c r="AA27" s="485"/>
      <c r="AB27" s="485"/>
      <c r="AD27" s="486" t="s">
        <v>425</v>
      </c>
      <c r="AE27" s="486"/>
      <c r="AF27" s="486"/>
    </row>
    <row r="28" spans="1:32" ht="24.75" customHeight="1">
      <c r="A28" s="501" t="s">
        <v>411</v>
      </c>
      <c r="B28" s="514" t="s">
        <v>426</v>
      </c>
      <c r="C28" s="523"/>
      <c r="D28" s="523"/>
      <c r="E28" s="523"/>
      <c r="F28" s="523"/>
      <c r="G28" s="523"/>
      <c r="H28" s="523"/>
      <c r="I28" s="523"/>
      <c r="J28" s="523"/>
      <c r="K28" s="523"/>
      <c r="L28" s="515"/>
      <c r="M28" s="487" t="s">
        <v>427</v>
      </c>
      <c r="N28" s="488"/>
      <c r="O28" s="488"/>
      <c r="P28" s="489"/>
      <c r="Q28" s="487" t="s">
        <v>428</v>
      </c>
      <c r="R28" s="488"/>
      <c r="S28" s="488"/>
      <c r="T28" s="489"/>
      <c r="U28" s="487" t="s">
        <v>429</v>
      </c>
      <c r="V28" s="488"/>
      <c r="W28" s="488"/>
      <c r="X28" s="489"/>
      <c r="Y28" s="487" t="s">
        <v>430</v>
      </c>
      <c r="Z28" s="488"/>
      <c r="AA28" s="488"/>
      <c r="AB28" s="489"/>
      <c r="AC28" s="487" t="s">
        <v>92</v>
      </c>
      <c r="AD28" s="488"/>
      <c r="AE28" s="488"/>
      <c r="AF28" s="489"/>
    </row>
    <row r="29" spans="1:32" ht="24.75" customHeight="1">
      <c r="A29" s="503"/>
      <c r="B29" s="524"/>
      <c r="C29" s="525"/>
      <c r="D29" s="525"/>
      <c r="E29" s="525"/>
      <c r="F29" s="525"/>
      <c r="G29" s="525"/>
      <c r="H29" s="525"/>
      <c r="I29" s="525"/>
      <c r="J29" s="525"/>
      <c r="K29" s="525"/>
      <c r="L29" s="526"/>
      <c r="M29" s="504" t="s">
        <v>404</v>
      </c>
      <c r="N29" s="504" t="s">
        <v>45</v>
      </c>
      <c r="O29" s="504" t="s">
        <v>46</v>
      </c>
      <c r="P29" s="504" t="s">
        <v>47</v>
      </c>
      <c r="Q29" s="504" t="s">
        <v>404</v>
      </c>
      <c r="R29" s="504" t="s">
        <v>45</v>
      </c>
      <c r="S29" s="504" t="s">
        <v>46</v>
      </c>
      <c r="T29" s="504" t="s">
        <v>47</v>
      </c>
      <c r="U29" s="504" t="s">
        <v>404</v>
      </c>
      <c r="V29" s="504" t="s">
        <v>45</v>
      </c>
      <c r="W29" s="504" t="s">
        <v>46</v>
      </c>
      <c r="X29" s="504" t="s">
        <v>47</v>
      </c>
      <c r="Y29" s="504" t="s">
        <v>404</v>
      </c>
      <c r="Z29" s="504" t="s">
        <v>45</v>
      </c>
      <c r="AA29" s="504" t="s">
        <v>46</v>
      </c>
      <c r="AB29" s="504" t="s">
        <v>47</v>
      </c>
      <c r="AC29" s="504" t="s">
        <v>404</v>
      </c>
      <c r="AD29" s="504" t="s">
        <v>45</v>
      </c>
      <c r="AE29" s="504" t="s">
        <v>46</v>
      </c>
      <c r="AF29" s="504" t="s">
        <v>47</v>
      </c>
    </row>
    <row r="30" spans="1:32" ht="24.75" customHeight="1">
      <c r="A30" s="502"/>
      <c r="B30" s="516"/>
      <c r="C30" s="527"/>
      <c r="D30" s="527"/>
      <c r="E30" s="527"/>
      <c r="F30" s="527"/>
      <c r="G30" s="527"/>
      <c r="H30" s="527"/>
      <c r="I30" s="527"/>
      <c r="J30" s="527"/>
      <c r="K30" s="527"/>
      <c r="L30" s="517"/>
      <c r="M30" s="505"/>
      <c r="N30" s="505"/>
      <c r="O30" s="505"/>
      <c r="P30" s="505"/>
      <c r="Q30" s="505"/>
      <c r="R30" s="505"/>
      <c r="S30" s="505"/>
      <c r="T30" s="505"/>
      <c r="U30" s="505"/>
      <c r="V30" s="505"/>
      <c r="W30" s="505"/>
      <c r="X30" s="505"/>
      <c r="Y30" s="505"/>
      <c r="Z30" s="505"/>
      <c r="AA30" s="505"/>
      <c r="AB30" s="505"/>
      <c r="AC30" s="505"/>
      <c r="AD30" s="505"/>
      <c r="AE30" s="505"/>
      <c r="AF30" s="505"/>
    </row>
    <row r="31" spans="1:32" ht="18.75" customHeight="1">
      <c r="A31" s="18">
        <v>1</v>
      </c>
      <c r="B31" s="509">
        <v>2</v>
      </c>
      <c r="C31" s="509"/>
      <c r="D31" s="509"/>
      <c r="E31" s="509"/>
      <c r="F31" s="509"/>
      <c r="G31" s="509"/>
      <c r="H31" s="509"/>
      <c r="I31" s="509"/>
      <c r="J31" s="509"/>
      <c r="K31" s="509"/>
      <c r="L31" s="509"/>
      <c r="M31" s="33">
        <v>3</v>
      </c>
      <c r="N31" s="33">
        <v>4</v>
      </c>
      <c r="O31" s="33">
        <v>5</v>
      </c>
      <c r="P31" s="33">
        <v>6</v>
      </c>
      <c r="Q31" s="33">
        <v>7</v>
      </c>
      <c r="R31" s="33">
        <v>8</v>
      </c>
      <c r="S31" s="33">
        <v>9</v>
      </c>
      <c r="T31" s="33">
        <v>10</v>
      </c>
      <c r="U31" s="33">
        <v>11</v>
      </c>
      <c r="V31" s="33">
        <v>12</v>
      </c>
      <c r="W31" s="33">
        <v>13</v>
      </c>
      <c r="X31" s="33">
        <v>14</v>
      </c>
      <c r="Y31" s="33">
        <v>15</v>
      </c>
      <c r="Z31" s="33">
        <v>16</v>
      </c>
      <c r="AA31" s="33">
        <v>17</v>
      </c>
      <c r="AB31" s="33">
        <v>18</v>
      </c>
      <c r="AC31" s="33">
        <v>19</v>
      </c>
      <c r="AD31" s="33">
        <v>20</v>
      </c>
      <c r="AE31" s="33">
        <v>21</v>
      </c>
      <c r="AF31" s="33">
        <v>22</v>
      </c>
    </row>
    <row r="32" spans="1:32" ht="46.5" customHeight="1">
      <c r="A32" s="19"/>
      <c r="B32" s="510" t="s">
        <v>431</v>
      </c>
      <c r="C32" s="510"/>
      <c r="D32" s="510"/>
      <c r="E32" s="510"/>
      <c r="F32" s="510"/>
      <c r="G32" s="510"/>
      <c r="H32" s="510"/>
      <c r="I32" s="510"/>
      <c r="J32" s="510"/>
      <c r="K32" s="510"/>
      <c r="L32" s="510"/>
      <c r="M32" s="34"/>
      <c r="N32" s="34"/>
      <c r="O32" s="34">
        <f>N32-M32</f>
        <v>0</v>
      </c>
      <c r="P32" s="35" t="e">
        <f>N32/M32*100</f>
        <v>#DIV/0!</v>
      </c>
      <c r="Q32" s="34"/>
      <c r="R32" s="34"/>
      <c r="S32" s="34">
        <f>R32-Q32</f>
        <v>0</v>
      </c>
      <c r="T32" s="35" t="e">
        <f>R32/Q32*100</f>
        <v>#DIV/0!</v>
      </c>
      <c r="U32" s="46">
        <v>100</v>
      </c>
      <c r="V32" s="46">
        <v>457.6</v>
      </c>
      <c r="W32" s="46">
        <f>V32-U32</f>
        <v>357.6</v>
      </c>
      <c r="X32" s="35">
        <f>V32/U32*100</f>
        <v>457.6</v>
      </c>
      <c r="Y32" s="51"/>
      <c r="Z32" s="52">
        <v>0</v>
      </c>
      <c r="AA32" s="51">
        <f>Z32-Y32</f>
        <v>0</v>
      </c>
      <c r="AB32" s="35" t="e">
        <f>Z32/Y32*100</f>
        <v>#DIV/0!</v>
      </c>
      <c r="AC32" s="46">
        <f aca="true" t="shared" si="0" ref="AC32:AD35">SUM(M32,Q32,U32,Y32)</f>
        <v>100</v>
      </c>
      <c r="AD32" s="46">
        <f t="shared" si="0"/>
        <v>457.6</v>
      </c>
      <c r="AE32" s="46">
        <f>AD32-AC32</f>
        <v>357.6</v>
      </c>
      <c r="AF32" s="35">
        <f>AD32/AC32*100</f>
        <v>457.6</v>
      </c>
    </row>
    <row r="33" spans="1:32" ht="34.5" customHeight="1">
      <c r="A33" s="19"/>
      <c r="B33" s="481"/>
      <c r="C33" s="481"/>
      <c r="D33" s="481"/>
      <c r="E33" s="481"/>
      <c r="F33" s="481"/>
      <c r="G33" s="481"/>
      <c r="H33" s="481"/>
      <c r="I33" s="481"/>
      <c r="J33" s="481"/>
      <c r="K33" s="481"/>
      <c r="L33" s="481"/>
      <c r="M33" s="34"/>
      <c r="N33" s="34"/>
      <c r="O33" s="34">
        <f>N33-M33</f>
        <v>0</v>
      </c>
      <c r="P33" s="35" t="e">
        <f>N33/M33*100</f>
        <v>#DIV/0!</v>
      </c>
      <c r="Q33" s="34"/>
      <c r="R33" s="34"/>
      <c r="S33" s="34">
        <f>R33-Q33</f>
        <v>0</v>
      </c>
      <c r="T33" s="35" t="e">
        <f>R33/Q33*100</f>
        <v>#DIV/0!</v>
      </c>
      <c r="U33" s="46"/>
      <c r="V33" s="46">
        <v>0</v>
      </c>
      <c r="W33" s="46">
        <f>V33-U33</f>
        <v>0</v>
      </c>
      <c r="X33" s="35" t="e">
        <f>V33/U33*100</f>
        <v>#DIV/0!</v>
      </c>
      <c r="Y33" s="51"/>
      <c r="Z33" s="51"/>
      <c r="AA33" s="51">
        <f>Z33-Y33</f>
        <v>0</v>
      </c>
      <c r="AB33" s="35" t="e">
        <f>Z33/Y33*100</f>
        <v>#DIV/0!</v>
      </c>
      <c r="AC33" s="34">
        <f t="shared" si="0"/>
        <v>0</v>
      </c>
      <c r="AD33" s="316">
        <f t="shared" si="0"/>
        <v>0</v>
      </c>
      <c r="AE33" s="34">
        <f>AD33-AC33</f>
        <v>0</v>
      </c>
      <c r="AF33" s="35" t="e">
        <f>AD33/AC33*100</f>
        <v>#DIV/0!</v>
      </c>
    </row>
    <row r="34" spans="1:32" ht="34.5" customHeight="1">
      <c r="A34" s="19"/>
      <c r="B34" s="481"/>
      <c r="C34" s="481"/>
      <c r="D34" s="481"/>
      <c r="E34" s="481"/>
      <c r="F34" s="481"/>
      <c r="G34" s="481"/>
      <c r="H34" s="481"/>
      <c r="I34" s="481"/>
      <c r="J34" s="481"/>
      <c r="K34" s="481"/>
      <c r="L34" s="481"/>
      <c r="M34" s="34"/>
      <c r="N34" s="34"/>
      <c r="O34" s="34">
        <f>N34-M34</f>
        <v>0</v>
      </c>
      <c r="P34" s="35" t="e">
        <f>N34/M34*100</f>
        <v>#DIV/0!</v>
      </c>
      <c r="Q34" s="34"/>
      <c r="R34" s="34"/>
      <c r="S34" s="34">
        <f>R34-Q34</f>
        <v>0</v>
      </c>
      <c r="T34" s="35" t="e">
        <f>R34/Q34*100</f>
        <v>#DIV/0!</v>
      </c>
      <c r="U34" s="46"/>
      <c r="V34" s="46"/>
      <c r="W34" s="46">
        <f>V34-U34</f>
        <v>0</v>
      </c>
      <c r="X34" s="35" t="e">
        <f>V34/U34*100</f>
        <v>#DIV/0!</v>
      </c>
      <c r="Y34" s="51"/>
      <c r="Z34" s="51"/>
      <c r="AA34" s="51">
        <f>Z34-Y34</f>
        <v>0</v>
      </c>
      <c r="AB34" s="35" t="e">
        <f>Z34/Y34*100</f>
        <v>#DIV/0!</v>
      </c>
      <c r="AC34" s="34">
        <f t="shared" si="0"/>
        <v>0</v>
      </c>
      <c r="AD34" s="34">
        <f t="shared" si="0"/>
        <v>0</v>
      </c>
      <c r="AE34" s="34">
        <f>AD34-AC34</f>
        <v>0</v>
      </c>
      <c r="AF34" s="35" t="e">
        <f>AD34/AC34*100</f>
        <v>#DIV/0!</v>
      </c>
    </row>
    <row r="35" spans="1:32" ht="34.5" customHeight="1">
      <c r="A35" s="19"/>
      <c r="B35" s="481"/>
      <c r="C35" s="481"/>
      <c r="D35" s="481"/>
      <c r="E35" s="481"/>
      <c r="F35" s="481"/>
      <c r="G35" s="481"/>
      <c r="H35" s="481"/>
      <c r="I35" s="481"/>
      <c r="J35" s="481"/>
      <c r="K35" s="481"/>
      <c r="L35" s="481"/>
      <c r="M35" s="34"/>
      <c r="N35" s="34"/>
      <c r="O35" s="34">
        <f>N35-M35</f>
        <v>0</v>
      </c>
      <c r="P35" s="35" t="e">
        <f>N35/M35*100</f>
        <v>#DIV/0!</v>
      </c>
      <c r="Q35" s="34"/>
      <c r="R35" s="34"/>
      <c r="S35" s="34">
        <f>R35-Q35</f>
        <v>0</v>
      </c>
      <c r="T35" s="35" t="e">
        <f>R35/Q35*100</f>
        <v>#DIV/0!</v>
      </c>
      <c r="U35" s="46"/>
      <c r="V35" s="46"/>
      <c r="W35" s="46">
        <f>V35-U35</f>
        <v>0</v>
      </c>
      <c r="X35" s="35" t="e">
        <f>V35/U35*100</f>
        <v>#DIV/0!</v>
      </c>
      <c r="Y35" s="51"/>
      <c r="Z35" s="51"/>
      <c r="AA35" s="51">
        <f>Z35-Y35</f>
        <v>0</v>
      </c>
      <c r="AB35" s="35" t="e">
        <f>Z35/Y35*100</f>
        <v>#DIV/0!</v>
      </c>
      <c r="AC35" s="34">
        <f t="shared" si="0"/>
        <v>0</v>
      </c>
      <c r="AD35" s="34">
        <f t="shared" si="0"/>
        <v>0</v>
      </c>
      <c r="AE35" s="34">
        <f>AD35-AC35</f>
        <v>0</v>
      </c>
      <c r="AF35" s="35" t="e">
        <f>AD35/AC35*100</f>
        <v>#DIV/0!</v>
      </c>
    </row>
    <row r="36" spans="1:32" ht="34.5" customHeight="1">
      <c r="A36" s="482" t="s">
        <v>92</v>
      </c>
      <c r="B36" s="483"/>
      <c r="C36" s="483"/>
      <c r="D36" s="483"/>
      <c r="E36" s="483"/>
      <c r="F36" s="483"/>
      <c r="G36" s="483"/>
      <c r="H36" s="483"/>
      <c r="I36" s="483"/>
      <c r="J36" s="483"/>
      <c r="K36" s="483"/>
      <c r="L36" s="484"/>
      <c r="M36" s="36">
        <f aca="true" t="shared" si="1" ref="M36:AE36">SUM(M32:M35)</f>
        <v>0</v>
      </c>
      <c r="N36" s="36">
        <f t="shared" si="1"/>
        <v>0</v>
      </c>
      <c r="O36" s="37">
        <f t="shared" si="1"/>
        <v>0</v>
      </c>
      <c r="P36" s="38" t="e">
        <f>N36/M36*100</f>
        <v>#DIV/0!</v>
      </c>
      <c r="Q36" s="36">
        <f t="shared" si="1"/>
        <v>0</v>
      </c>
      <c r="R36" s="36">
        <f t="shared" si="1"/>
        <v>0</v>
      </c>
      <c r="S36" s="37">
        <f t="shared" si="1"/>
        <v>0</v>
      </c>
      <c r="T36" s="38" t="e">
        <f>R36/Q36*100</f>
        <v>#DIV/0!</v>
      </c>
      <c r="U36" s="47">
        <f t="shared" si="1"/>
        <v>100</v>
      </c>
      <c r="V36" s="47">
        <f t="shared" si="1"/>
        <v>457.6</v>
      </c>
      <c r="W36" s="48">
        <f t="shared" si="1"/>
        <v>357.6</v>
      </c>
      <c r="X36" s="38">
        <f>V36/U36*100</f>
        <v>457.6</v>
      </c>
      <c r="Y36" s="53">
        <f t="shared" si="1"/>
        <v>0</v>
      </c>
      <c r="Z36" s="54">
        <f t="shared" si="1"/>
        <v>0</v>
      </c>
      <c r="AA36" s="37">
        <f t="shared" si="1"/>
        <v>0</v>
      </c>
      <c r="AB36" s="38" t="e">
        <f>Z36/Y36*100</f>
        <v>#DIV/0!</v>
      </c>
      <c r="AC36" s="47">
        <f t="shared" si="1"/>
        <v>100</v>
      </c>
      <c r="AD36" s="47">
        <f t="shared" si="1"/>
        <v>457.6</v>
      </c>
      <c r="AE36" s="48">
        <f t="shared" si="1"/>
        <v>357.6</v>
      </c>
      <c r="AF36" s="38">
        <f>AD36/AC36*100</f>
        <v>457.6</v>
      </c>
    </row>
    <row r="37" spans="1:32" ht="34.5" customHeight="1">
      <c r="A37" s="506" t="s">
        <v>432</v>
      </c>
      <c r="B37" s="507"/>
      <c r="C37" s="507"/>
      <c r="D37" s="507"/>
      <c r="E37" s="507"/>
      <c r="F37" s="507"/>
      <c r="G37" s="507"/>
      <c r="H37" s="507"/>
      <c r="I37" s="507"/>
      <c r="J37" s="507"/>
      <c r="K37" s="507"/>
      <c r="L37" s="508"/>
      <c r="M37" s="39">
        <f>M36/AC36*100</f>
        <v>0</v>
      </c>
      <c r="N37" s="39">
        <f>N36/AD36*100</f>
        <v>0</v>
      </c>
      <c r="O37" s="40"/>
      <c r="P37" s="40"/>
      <c r="Q37" s="39">
        <f>Q36/AC36*100</f>
        <v>0</v>
      </c>
      <c r="R37" s="39">
        <f>R36/AD36*100</f>
        <v>0</v>
      </c>
      <c r="S37" s="40"/>
      <c r="T37" s="40"/>
      <c r="U37" s="39">
        <f>U36/AC36*100</f>
        <v>100</v>
      </c>
      <c r="V37" s="39">
        <f>V36/AD36*100</f>
        <v>100</v>
      </c>
      <c r="W37" s="40"/>
      <c r="X37" s="40"/>
      <c r="Y37" s="39">
        <f>Y36/AC36*100</f>
        <v>0</v>
      </c>
      <c r="Z37" s="39">
        <f>Z36/AD36*100</f>
        <v>0</v>
      </c>
      <c r="AA37" s="40"/>
      <c r="AB37" s="40"/>
      <c r="AC37" s="55">
        <f>SUM(M37,Q37,U37,Y37)</f>
        <v>100</v>
      </c>
      <c r="AD37" s="55">
        <f>SUM(N37,R37,V37,Z37)</f>
        <v>100</v>
      </c>
      <c r="AE37" s="34"/>
      <c r="AF37" s="40"/>
    </row>
    <row r="38" spans="1:22" ht="15" customHeight="1">
      <c r="A38" s="20"/>
      <c r="B38" s="20"/>
      <c r="C38" s="20"/>
      <c r="D38" s="21"/>
      <c r="E38" s="21"/>
      <c r="F38" s="21"/>
      <c r="G38" s="21"/>
      <c r="H38" s="21"/>
      <c r="I38" s="21"/>
      <c r="J38" s="21"/>
      <c r="K38" s="21"/>
      <c r="L38" s="21"/>
      <c r="M38" s="21"/>
      <c r="N38" s="21"/>
      <c r="O38" s="21"/>
      <c r="P38" s="21"/>
      <c r="Q38" s="21"/>
      <c r="R38" s="21"/>
      <c r="S38" s="21"/>
      <c r="T38" s="21"/>
      <c r="U38" s="21"/>
      <c r="V38" s="21"/>
    </row>
    <row r="39" spans="1:22" ht="15" customHeight="1">
      <c r="A39" s="20"/>
      <c r="B39" s="20"/>
      <c r="C39" s="20"/>
      <c r="D39" s="21"/>
      <c r="E39" s="21"/>
      <c r="F39" s="21"/>
      <c r="G39" s="21"/>
      <c r="H39" s="21"/>
      <c r="I39" s="21"/>
      <c r="J39" s="21"/>
      <c r="K39" s="21"/>
      <c r="L39" s="21"/>
      <c r="M39" s="21"/>
      <c r="N39" s="21"/>
      <c r="O39" s="21"/>
      <c r="P39" s="21"/>
      <c r="Q39" s="21"/>
      <c r="R39" s="21"/>
      <c r="S39" s="21"/>
      <c r="T39" s="21"/>
      <c r="U39" s="21"/>
      <c r="V39" s="21"/>
    </row>
    <row r="40" s="1" customFormat="1" ht="31.5" customHeight="1">
      <c r="C40" s="1" t="s">
        <v>433</v>
      </c>
    </row>
    <row r="41" spans="1:32" s="2" customFormat="1" ht="18.75">
      <c r="A41" s="6"/>
      <c r="B41" s="6"/>
      <c r="C41" s="6"/>
      <c r="D41" s="6"/>
      <c r="E41" s="6"/>
      <c r="F41" s="6"/>
      <c r="G41" s="6"/>
      <c r="H41" s="6"/>
      <c r="I41" s="6"/>
      <c r="J41" s="6"/>
      <c r="L41" s="6"/>
      <c r="AD41" s="490" t="s">
        <v>425</v>
      </c>
      <c r="AE41" s="490"/>
      <c r="AF41" s="490"/>
    </row>
    <row r="42" spans="1:32" s="3" customFormat="1" ht="34.5" customHeight="1">
      <c r="A42" s="345" t="s">
        <v>411</v>
      </c>
      <c r="B42" s="435" t="s">
        <v>434</v>
      </c>
      <c r="C42" s="437"/>
      <c r="D42" s="326" t="s">
        <v>435</v>
      </c>
      <c r="E42" s="326"/>
      <c r="F42" s="326" t="s">
        <v>436</v>
      </c>
      <c r="G42" s="326"/>
      <c r="H42" s="326" t="s">
        <v>437</v>
      </c>
      <c r="I42" s="326"/>
      <c r="J42" s="326" t="s">
        <v>438</v>
      </c>
      <c r="K42" s="326"/>
      <c r="L42" s="326" t="s">
        <v>41</v>
      </c>
      <c r="M42" s="326"/>
      <c r="N42" s="326"/>
      <c r="O42" s="326"/>
      <c r="P42" s="326"/>
      <c r="Q42" s="326"/>
      <c r="R42" s="326"/>
      <c r="S42" s="326"/>
      <c r="T42" s="326"/>
      <c r="U42" s="326"/>
      <c r="V42" s="326" t="s">
        <v>439</v>
      </c>
      <c r="W42" s="326"/>
      <c r="X42" s="326"/>
      <c r="Y42" s="326"/>
      <c r="Z42" s="326"/>
      <c r="AA42" s="326" t="s">
        <v>440</v>
      </c>
      <c r="AB42" s="326"/>
      <c r="AC42" s="326"/>
      <c r="AD42" s="326"/>
      <c r="AE42" s="326"/>
      <c r="AF42" s="326"/>
    </row>
    <row r="43" spans="1:32" s="3" customFormat="1" ht="52.5" customHeight="1">
      <c r="A43" s="345"/>
      <c r="B43" s="459"/>
      <c r="C43" s="461"/>
      <c r="D43" s="326"/>
      <c r="E43" s="326"/>
      <c r="F43" s="326"/>
      <c r="G43" s="326"/>
      <c r="H43" s="326"/>
      <c r="I43" s="326"/>
      <c r="J43" s="326"/>
      <c r="K43" s="326"/>
      <c r="L43" s="326" t="s">
        <v>441</v>
      </c>
      <c r="M43" s="326"/>
      <c r="N43" s="326" t="s">
        <v>442</v>
      </c>
      <c r="O43" s="326"/>
      <c r="P43" s="326" t="s">
        <v>443</v>
      </c>
      <c r="Q43" s="326"/>
      <c r="R43" s="326"/>
      <c r="S43" s="326"/>
      <c r="T43" s="326"/>
      <c r="U43" s="326"/>
      <c r="V43" s="326"/>
      <c r="W43" s="326"/>
      <c r="X43" s="326"/>
      <c r="Y43" s="326"/>
      <c r="Z43" s="326"/>
      <c r="AA43" s="326"/>
      <c r="AB43" s="326"/>
      <c r="AC43" s="326"/>
      <c r="AD43" s="326"/>
      <c r="AE43" s="326"/>
      <c r="AF43" s="326"/>
    </row>
    <row r="44" spans="1:32" s="4" customFormat="1" ht="82.5" customHeight="1">
      <c r="A44" s="345"/>
      <c r="B44" s="438"/>
      <c r="C44" s="440"/>
      <c r="D44" s="326"/>
      <c r="E44" s="326"/>
      <c r="F44" s="326"/>
      <c r="G44" s="326"/>
      <c r="H44" s="326"/>
      <c r="I44" s="326"/>
      <c r="J44" s="326"/>
      <c r="K44" s="326"/>
      <c r="L44" s="326"/>
      <c r="M44" s="326"/>
      <c r="N44" s="326"/>
      <c r="O44" s="326"/>
      <c r="P44" s="326" t="s">
        <v>444</v>
      </c>
      <c r="Q44" s="326"/>
      <c r="R44" s="326" t="s">
        <v>445</v>
      </c>
      <c r="S44" s="326"/>
      <c r="T44" s="326" t="s">
        <v>446</v>
      </c>
      <c r="U44" s="326"/>
      <c r="V44" s="326"/>
      <c r="W44" s="326"/>
      <c r="X44" s="326"/>
      <c r="Y44" s="326"/>
      <c r="Z44" s="326"/>
      <c r="AA44" s="326"/>
      <c r="AB44" s="326"/>
      <c r="AC44" s="326"/>
      <c r="AD44" s="326"/>
      <c r="AE44" s="326"/>
      <c r="AF44" s="326"/>
    </row>
    <row r="45" spans="1:32" s="3" customFormat="1" ht="18.75" customHeight="1">
      <c r="A45" s="23">
        <v>1</v>
      </c>
      <c r="B45" s="376">
        <v>2</v>
      </c>
      <c r="C45" s="375"/>
      <c r="D45" s="326">
        <v>3</v>
      </c>
      <c r="E45" s="326"/>
      <c r="F45" s="326">
        <v>4</v>
      </c>
      <c r="G45" s="326"/>
      <c r="H45" s="326">
        <v>5</v>
      </c>
      <c r="I45" s="326"/>
      <c r="J45" s="326">
        <v>6</v>
      </c>
      <c r="K45" s="326"/>
      <c r="L45" s="376">
        <v>7</v>
      </c>
      <c r="M45" s="375"/>
      <c r="N45" s="376">
        <v>8</v>
      </c>
      <c r="O45" s="375"/>
      <c r="P45" s="326">
        <v>9</v>
      </c>
      <c r="Q45" s="326"/>
      <c r="R45" s="345">
        <v>10</v>
      </c>
      <c r="S45" s="345"/>
      <c r="T45" s="326">
        <v>11</v>
      </c>
      <c r="U45" s="326"/>
      <c r="V45" s="326">
        <v>12</v>
      </c>
      <c r="W45" s="326"/>
      <c r="X45" s="326"/>
      <c r="Y45" s="326"/>
      <c r="Z45" s="326"/>
      <c r="AA45" s="326">
        <v>13</v>
      </c>
      <c r="AB45" s="326"/>
      <c r="AC45" s="326"/>
      <c r="AD45" s="326"/>
      <c r="AE45" s="326"/>
      <c r="AF45" s="326"/>
    </row>
    <row r="46" spans="1:32" s="3" customFormat="1" ht="19.5" customHeight="1">
      <c r="A46" s="24"/>
      <c r="B46" s="491"/>
      <c r="C46" s="492"/>
      <c r="D46" s="413"/>
      <c r="E46" s="413"/>
      <c r="F46" s="493"/>
      <c r="G46" s="493"/>
      <c r="H46" s="493"/>
      <c r="I46" s="493"/>
      <c r="J46" s="493"/>
      <c r="K46" s="493"/>
      <c r="L46" s="414"/>
      <c r="M46" s="415"/>
      <c r="N46" s="433">
        <f aca="true" t="shared" si="2" ref="N46:N52">SUM(P46,R46,T46)</f>
        <v>0</v>
      </c>
      <c r="O46" s="434"/>
      <c r="P46" s="493"/>
      <c r="Q46" s="493"/>
      <c r="R46" s="493"/>
      <c r="S46" s="493"/>
      <c r="T46" s="493"/>
      <c r="U46" s="493"/>
      <c r="V46" s="494"/>
      <c r="W46" s="494"/>
      <c r="X46" s="494"/>
      <c r="Y46" s="494"/>
      <c r="Z46" s="494"/>
      <c r="AA46" s="411"/>
      <c r="AB46" s="411"/>
      <c r="AC46" s="411"/>
      <c r="AD46" s="411"/>
      <c r="AE46" s="411"/>
      <c r="AF46" s="411"/>
    </row>
    <row r="47" spans="1:32" s="3" customFormat="1" ht="19.5" customHeight="1">
      <c r="A47" s="24"/>
      <c r="B47" s="491"/>
      <c r="C47" s="492"/>
      <c r="D47" s="413"/>
      <c r="E47" s="413"/>
      <c r="F47" s="493"/>
      <c r="G47" s="493"/>
      <c r="H47" s="493"/>
      <c r="I47" s="493"/>
      <c r="J47" s="493"/>
      <c r="K47" s="493"/>
      <c r="L47" s="414"/>
      <c r="M47" s="415"/>
      <c r="N47" s="433">
        <f t="shared" si="2"/>
        <v>0</v>
      </c>
      <c r="O47" s="434"/>
      <c r="P47" s="493"/>
      <c r="Q47" s="493"/>
      <c r="R47" s="493"/>
      <c r="S47" s="493"/>
      <c r="T47" s="493"/>
      <c r="U47" s="493"/>
      <c r="V47" s="494"/>
      <c r="W47" s="494"/>
      <c r="X47" s="494"/>
      <c r="Y47" s="494"/>
      <c r="Z47" s="494"/>
      <c r="AA47" s="411"/>
      <c r="AB47" s="411"/>
      <c r="AC47" s="411"/>
      <c r="AD47" s="411"/>
      <c r="AE47" s="411"/>
      <c r="AF47" s="411"/>
    </row>
    <row r="48" spans="1:32" s="3" customFormat="1" ht="19.5" customHeight="1">
      <c r="A48" s="24"/>
      <c r="B48" s="491"/>
      <c r="C48" s="492"/>
      <c r="D48" s="413"/>
      <c r="E48" s="413"/>
      <c r="F48" s="493"/>
      <c r="G48" s="493"/>
      <c r="H48" s="493"/>
      <c r="I48" s="493"/>
      <c r="J48" s="493"/>
      <c r="K48" s="493"/>
      <c r="L48" s="414"/>
      <c r="M48" s="415"/>
      <c r="N48" s="433">
        <f t="shared" si="2"/>
        <v>0</v>
      </c>
      <c r="O48" s="434"/>
      <c r="P48" s="493"/>
      <c r="Q48" s="493"/>
      <c r="R48" s="493"/>
      <c r="S48" s="493"/>
      <c r="T48" s="493"/>
      <c r="U48" s="493"/>
      <c r="V48" s="494"/>
      <c r="W48" s="494"/>
      <c r="X48" s="494"/>
      <c r="Y48" s="494"/>
      <c r="Z48" s="494"/>
      <c r="AA48" s="411"/>
      <c r="AB48" s="411"/>
      <c r="AC48" s="411"/>
      <c r="AD48" s="411"/>
      <c r="AE48" s="411"/>
      <c r="AF48" s="411"/>
    </row>
    <row r="49" spans="1:32" s="3" customFormat="1" ht="19.5" customHeight="1">
      <c r="A49" s="24"/>
      <c r="B49" s="491"/>
      <c r="C49" s="492"/>
      <c r="D49" s="413"/>
      <c r="E49" s="413"/>
      <c r="F49" s="493"/>
      <c r="G49" s="493"/>
      <c r="H49" s="493"/>
      <c r="I49" s="493"/>
      <c r="J49" s="493"/>
      <c r="K49" s="493"/>
      <c r="L49" s="414"/>
      <c r="M49" s="415"/>
      <c r="N49" s="433">
        <f t="shared" si="2"/>
        <v>0</v>
      </c>
      <c r="O49" s="434"/>
      <c r="P49" s="493"/>
      <c r="Q49" s="493"/>
      <c r="R49" s="493"/>
      <c r="S49" s="493"/>
      <c r="T49" s="493"/>
      <c r="U49" s="493"/>
      <c r="V49" s="494"/>
      <c r="W49" s="494"/>
      <c r="X49" s="494"/>
      <c r="Y49" s="494"/>
      <c r="Z49" s="494"/>
      <c r="AA49" s="411"/>
      <c r="AB49" s="411"/>
      <c r="AC49" s="411"/>
      <c r="AD49" s="411"/>
      <c r="AE49" s="411"/>
      <c r="AF49" s="411"/>
    </row>
    <row r="50" spans="1:32" s="3" customFormat="1" ht="19.5" customHeight="1">
      <c r="A50" s="24"/>
      <c r="B50" s="491"/>
      <c r="C50" s="492"/>
      <c r="D50" s="413"/>
      <c r="E50" s="413"/>
      <c r="F50" s="493"/>
      <c r="G50" s="493"/>
      <c r="H50" s="493"/>
      <c r="I50" s="493"/>
      <c r="J50" s="493"/>
      <c r="K50" s="493"/>
      <c r="L50" s="414"/>
      <c r="M50" s="415"/>
      <c r="N50" s="433">
        <f t="shared" si="2"/>
        <v>0</v>
      </c>
      <c r="O50" s="434"/>
      <c r="P50" s="493"/>
      <c r="Q50" s="493"/>
      <c r="R50" s="493"/>
      <c r="S50" s="493"/>
      <c r="T50" s="493"/>
      <c r="U50" s="493"/>
      <c r="V50" s="494"/>
      <c r="W50" s="494"/>
      <c r="X50" s="494"/>
      <c r="Y50" s="494"/>
      <c r="Z50" s="494"/>
      <c r="AA50" s="411"/>
      <c r="AB50" s="411"/>
      <c r="AC50" s="411"/>
      <c r="AD50" s="411"/>
      <c r="AE50" s="411"/>
      <c r="AF50" s="411"/>
    </row>
    <row r="51" spans="1:32" s="3" customFormat="1" ht="19.5" customHeight="1">
      <c r="A51" s="24"/>
      <c r="B51" s="491"/>
      <c r="C51" s="492"/>
      <c r="D51" s="413"/>
      <c r="E51" s="413"/>
      <c r="F51" s="493"/>
      <c r="G51" s="493"/>
      <c r="H51" s="493"/>
      <c r="I51" s="493"/>
      <c r="J51" s="493"/>
      <c r="K51" s="493"/>
      <c r="L51" s="414"/>
      <c r="M51" s="415"/>
      <c r="N51" s="433">
        <f t="shared" si="2"/>
        <v>0</v>
      </c>
      <c r="O51" s="434"/>
      <c r="P51" s="493"/>
      <c r="Q51" s="493"/>
      <c r="R51" s="493"/>
      <c r="S51" s="493"/>
      <c r="T51" s="493"/>
      <c r="U51" s="493"/>
      <c r="V51" s="494"/>
      <c r="W51" s="494"/>
      <c r="X51" s="494"/>
      <c r="Y51" s="494"/>
      <c r="Z51" s="494"/>
      <c r="AA51" s="411"/>
      <c r="AB51" s="411"/>
      <c r="AC51" s="411"/>
      <c r="AD51" s="411"/>
      <c r="AE51" s="411"/>
      <c r="AF51" s="411"/>
    </row>
    <row r="52" spans="1:32" s="3" customFormat="1" ht="19.5" customHeight="1">
      <c r="A52" s="24"/>
      <c r="B52" s="491"/>
      <c r="C52" s="492"/>
      <c r="D52" s="413"/>
      <c r="E52" s="413"/>
      <c r="F52" s="493"/>
      <c r="G52" s="493"/>
      <c r="H52" s="493"/>
      <c r="I52" s="493"/>
      <c r="J52" s="493"/>
      <c r="K52" s="493"/>
      <c r="L52" s="414"/>
      <c r="M52" s="415"/>
      <c r="N52" s="433">
        <f t="shared" si="2"/>
        <v>0</v>
      </c>
      <c r="O52" s="434"/>
      <c r="P52" s="493"/>
      <c r="Q52" s="493"/>
      <c r="R52" s="493"/>
      <c r="S52" s="493"/>
      <c r="T52" s="493"/>
      <c r="U52" s="493"/>
      <c r="V52" s="494"/>
      <c r="W52" s="494"/>
      <c r="X52" s="494"/>
      <c r="Y52" s="494"/>
      <c r="Z52" s="494"/>
      <c r="AA52" s="411"/>
      <c r="AB52" s="411"/>
      <c r="AC52" s="411"/>
      <c r="AD52" s="411"/>
      <c r="AE52" s="411"/>
      <c r="AF52" s="411"/>
    </row>
    <row r="53" spans="1:32" s="3" customFormat="1" ht="24.75" customHeight="1">
      <c r="A53" s="497" t="s">
        <v>92</v>
      </c>
      <c r="B53" s="498"/>
      <c r="C53" s="498"/>
      <c r="D53" s="498"/>
      <c r="E53" s="499"/>
      <c r="F53" s="500">
        <f>SUM(F46:F52)</f>
        <v>0</v>
      </c>
      <c r="G53" s="500"/>
      <c r="H53" s="500">
        <f>SUM(H46:H52)</f>
        <v>0</v>
      </c>
      <c r="I53" s="500"/>
      <c r="J53" s="500">
        <f>SUM(J46:J52)</f>
        <v>0</v>
      </c>
      <c r="K53" s="500"/>
      <c r="L53" s="500">
        <f>SUM(L46:L52)</f>
        <v>0</v>
      </c>
      <c r="M53" s="500"/>
      <c r="N53" s="500">
        <f>SUM(N46:N52)</f>
        <v>0</v>
      </c>
      <c r="O53" s="500"/>
      <c r="P53" s="500">
        <f>SUM(P46:P52)</f>
        <v>0</v>
      </c>
      <c r="Q53" s="500"/>
      <c r="R53" s="500">
        <f>SUM(R46:R52)</f>
        <v>0</v>
      </c>
      <c r="S53" s="500"/>
      <c r="T53" s="500">
        <f>SUM(T46:T52)</f>
        <v>0</v>
      </c>
      <c r="U53" s="500"/>
      <c r="V53" s="513"/>
      <c r="W53" s="513"/>
      <c r="X53" s="513"/>
      <c r="Y53" s="513"/>
      <c r="Z53" s="513"/>
      <c r="AA53" s="431"/>
      <c r="AB53" s="431"/>
      <c r="AC53" s="431"/>
      <c r="AD53" s="431"/>
      <c r="AE53" s="431"/>
      <c r="AF53" s="431"/>
    </row>
    <row r="54" spans="1:22" ht="15" customHeight="1">
      <c r="A54" s="20"/>
      <c r="B54" s="20"/>
      <c r="C54" s="20"/>
      <c r="D54" s="21"/>
      <c r="E54" s="21"/>
      <c r="F54" s="21"/>
      <c r="G54" s="21"/>
      <c r="H54" s="21"/>
      <c r="I54" s="21"/>
      <c r="J54" s="21"/>
      <c r="K54" s="21"/>
      <c r="L54" s="21"/>
      <c r="M54" s="21"/>
      <c r="N54" s="21"/>
      <c r="O54" s="21"/>
      <c r="P54" s="21"/>
      <c r="Q54" s="21"/>
      <c r="R54" s="21"/>
      <c r="S54" s="21"/>
      <c r="T54" s="21"/>
      <c r="U54" s="21"/>
      <c r="V54" s="21"/>
    </row>
    <row r="55" spans="1:22" ht="15" customHeight="1">
      <c r="A55" s="20"/>
      <c r="B55" s="20"/>
      <c r="C55" s="20"/>
      <c r="D55" s="21"/>
      <c r="E55" s="21"/>
      <c r="F55" s="21"/>
      <c r="G55" s="21"/>
      <c r="H55" s="21"/>
      <c r="I55" s="21"/>
      <c r="J55" s="21"/>
      <c r="K55" s="21"/>
      <c r="L55" s="21"/>
      <c r="M55" s="21"/>
      <c r="N55" s="21"/>
      <c r="O55" s="21"/>
      <c r="P55" s="21"/>
      <c r="Q55" s="21"/>
      <c r="R55" s="21"/>
      <c r="S55" s="21"/>
      <c r="T55" s="21"/>
      <c r="U55" s="21"/>
      <c r="V55" s="21"/>
    </row>
    <row r="56" spans="1:22" ht="15" customHeight="1">
      <c r="A56" s="20"/>
      <c r="B56" s="20"/>
      <c r="C56" s="20"/>
      <c r="D56" s="21"/>
      <c r="E56" s="21"/>
      <c r="F56" s="21"/>
      <c r="G56" s="21"/>
      <c r="H56" s="21"/>
      <c r="I56" s="21"/>
      <c r="J56" s="21"/>
      <c r="K56" s="21"/>
      <c r="L56" s="21"/>
      <c r="M56" s="21"/>
      <c r="N56" s="21"/>
      <c r="O56" s="21"/>
      <c r="P56" s="21"/>
      <c r="Q56" s="21"/>
      <c r="R56" s="21"/>
      <c r="S56" s="21"/>
      <c r="T56" s="21"/>
      <c r="U56" s="21"/>
      <c r="V56" s="21"/>
    </row>
    <row r="57" spans="1:22" ht="15" customHeight="1">
      <c r="A57" s="20"/>
      <c r="B57" s="20"/>
      <c r="C57" s="20"/>
      <c r="D57" s="21"/>
      <c r="E57" s="21"/>
      <c r="F57" s="21"/>
      <c r="G57" s="21"/>
      <c r="H57" s="21"/>
      <c r="I57" s="21"/>
      <c r="J57" s="21"/>
      <c r="K57" s="21"/>
      <c r="L57" s="21"/>
      <c r="M57" s="21"/>
      <c r="N57" s="21"/>
      <c r="O57" s="21"/>
      <c r="P57" s="21"/>
      <c r="Q57" s="21"/>
      <c r="R57" s="21"/>
      <c r="S57" s="21"/>
      <c r="T57" s="21"/>
      <c r="U57" s="21"/>
      <c r="V57" s="21"/>
    </row>
    <row r="58" spans="1:27" ht="15" customHeight="1">
      <c r="A58" s="20"/>
      <c r="B58" s="495" t="s">
        <v>447</v>
      </c>
      <c r="C58" s="495"/>
      <c r="D58" s="495"/>
      <c r="E58" s="495"/>
      <c r="F58" s="495"/>
      <c r="G58" s="495"/>
      <c r="H58" s="21"/>
      <c r="I58" s="21"/>
      <c r="J58" s="21"/>
      <c r="K58" s="21"/>
      <c r="L58" s="21"/>
      <c r="M58" s="496"/>
      <c r="N58" s="496"/>
      <c r="O58" s="496"/>
      <c r="P58" s="496"/>
      <c r="Q58" s="496"/>
      <c r="R58" s="21"/>
      <c r="S58" s="21"/>
      <c r="T58" s="21"/>
      <c r="U58" s="21"/>
      <c r="V58" s="21"/>
      <c r="W58" s="343" t="s">
        <v>529</v>
      </c>
      <c r="X58" s="343"/>
      <c r="Y58" s="343"/>
      <c r="Z58" s="343"/>
      <c r="AA58" s="343"/>
    </row>
    <row r="59" spans="2:27" s="5" customFormat="1" ht="18.75">
      <c r="B59" s="344" t="s">
        <v>448</v>
      </c>
      <c r="C59" s="344"/>
      <c r="D59" s="344"/>
      <c r="E59" s="344"/>
      <c r="F59" s="344"/>
      <c r="G59" s="344"/>
      <c r="H59" s="1"/>
      <c r="I59" s="1"/>
      <c r="J59" s="1"/>
      <c r="K59" s="1"/>
      <c r="L59" s="1"/>
      <c r="M59" s="344" t="s">
        <v>196</v>
      </c>
      <c r="N59" s="344"/>
      <c r="O59" s="344"/>
      <c r="P59" s="344"/>
      <c r="Q59" s="344"/>
      <c r="V59" s="6"/>
      <c r="W59" s="344"/>
      <c r="X59" s="344"/>
      <c r="Y59" s="344"/>
      <c r="Z59" s="344"/>
      <c r="AA59" s="344"/>
    </row>
    <row r="60" spans="6:27" s="5" customFormat="1" ht="18.75">
      <c r="F60" s="16"/>
      <c r="G60" s="16"/>
      <c r="H60" s="16"/>
      <c r="I60" s="16"/>
      <c r="J60" s="16"/>
      <c r="K60" s="16"/>
      <c r="L60" s="16"/>
      <c r="Q60" s="16"/>
      <c r="R60" s="16"/>
      <c r="S60" s="16"/>
      <c r="T60" s="16"/>
      <c r="X60" s="16"/>
      <c r="Y60" s="16"/>
      <c r="Z60" s="16"/>
      <c r="AA60" s="16"/>
    </row>
    <row r="61" spans="3:22" ht="18.75">
      <c r="C61" s="27"/>
      <c r="D61" s="27"/>
      <c r="E61" s="27"/>
      <c r="F61" s="27"/>
      <c r="G61" s="27"/>
      <c r="H61" s="27"/>
      <c r="I61" s="41"/>
      <c r="J61" s="41"/>
      <c r="K61" s="41"/>
      <c r="L61" s="41"/>
      <c r="M61" s="41"/>
      <c r="N61" s="41"/>
      <c r="O61" s="41"/>
      <c r="P61" s="41"/>
      <c r="Q61" s="41"/>
      <c r="R61" s="41"/>
      <c r="S61" s="41"/>
      <c r="T61" s="41"/>
      <c r="U61" s="27"/>
      <c r="V61" s="27"/>
    </row>
    <row r="62" s="512" customFormat="1" ht="12.75">
      <c r="A62" s="511" t="s">
        <v>449</v>
      </c>
    </row>
    <row r="63" spans="3:22" ht="18.75">
      <c r="C63" s="27"/>
      <c r="D63" s="27"/>
      <c r="E63" s="27"/>
      <c r="F63" s="27"/>
      <c r="G63" s="27"/>
      <c r="H63" s="27"/>
      <c r="I63" s="27"/>
      <c r="J63" s="27"/>
      <c r="K63" s="27"/>
      <c r="L63" s="27"/>
      <c r="M63" s="27"/>
      <c r="N63" s="27"/>
      <c r="O63" s="27"/>
      <c r="P63" s="27"/>
      <c r="Q63" s="27"/>
      <c r="R63" s="27"/>
      <c r="S63" s="27"/>
      <c r="T63" s="27"/>
      <c r="U63" s="27"/>
      <c r="V63" s="27"/>
    </row>
    <row r="64" ht="18.75">
      <c r="C64" s="28"/>
    </row>
    <row r="67" ht="19.5">
      <c r="C67" s="56"/>
    </row>
    <row r="68" ht="19.5">
      <c r="C68" s="56"/>
    </row>
    <row r="69" ht="19.5">
      <c r="C69" s="56"/>
    </row>
    <row r="70" ht="19.5">
      <c r="C70" s="56"/>
    </row>
    <row r="71" ht="19.5">
      <c r="C71" s="56"/>
    </row>
    <row r="72" ht="19.5">
      <c r="C72" s="56"/>
    </row>
    <row r="73" ht="19.5">
      <c r="C73" s="56"/>
    </row>
  </sheetData>
  <sheetProtection/>
  <mergeCells count="284">
    <mergeCell ref="B28:L30"/>
    <mergeCell ref="AA42:AF44"/>
    <mergeCell ref="V42:Z44"/>
    <mergeCell ref="AA15:AC17"/>
    <mergeCell ref="AD15:AF17"/>
    <mergeCell ref="B15:C17"/>
    <mergeCell ref="P15:Q17"/>
    <mergeCell ref="L43:M44"/>
    <mergeCell ref="N43:O44"/>
    <mergeCell ref="B42:C44"/>
    <mergeCell ref="G3:Q4"/>
    <mergeCell ref="B3:C4"/>
    <mergeCell ref="D3:F4"/>
    <mergeCell ref="AA3:AC4"/>
    <mergeCell ref="AD3:AF4"/>
    <mergeCell ref="R16:T17"/>
    <mergeCell ref="U16:W17"/>
    <mergeCell ref="X16:Z17"/>
    <mergeCell ref="R15:Z15"/>
    <mergeCell ref="AD10:AF10"/>
    <mergeCell ref="D42:E44"/>
    <mergeCell ref="F42:G44"/>
    <mergeCell ref="H42:I44"/>
    <mergeCell ref="J42:K44"/>
    <mergeCell ref="AA29:AA30"/>
    <mergeCell ref="AB29:AB30"/>
    <mergeCell ref="O29:O30"/>
    <mergeCell ref="P29:P30"/>
    <mergeCell ref="Q29:Q30"/>
    <mergeCell ref="R29:R30"/>
    <mergeCell ref="AC29:AC30"/>
    <mergeCell ref="AD29:AD30"/>
    <mergeCell ref="AE29:AE30"/>
    <mergeCell ref="AF29:AF30"/>
    <mergeCell ref="U29:U30"/>
    <mergeCell ref="V29:V30"/>
    <mergeCell ref="W29:W30"/>
    <mergeCell ref="X29:X30"/>
    <mergeCell ref="Y29:Y30"/>
    <mergeCell ref="Z29:Z30"/>
    <mergeCell ref="S29:S30"/>
    <mergeCell ref="T29:T30"/>
    <mergeCell ref="B59:G59"/>
    <mergeCell ref="M59:Q59"/>
    <mergeCell ref="W59:AA59"/>
    <mergeCell ref="A62:IV62"/>
    <mergeCell ref="P53:Q53"/>
    <mergeCell ref="R53:S53"/>
    <mergeCell ref="T53:U53"/>
    <mergeCell ref="V53:Z53"/>
    <mergeCell ref="A3:A4"/>
    <mergeCell ref="A15:A17"/>
    <mergeCell ref="A28:A30"/>
    <mergeCell ref="A42:A44"/>
    <mergeCell ref="M29:M30"/>
    <mergeCell ref="N29:N30"/>
    <mergeCell ref="A37:L37"/>
    <mergeCell ref="B31:L31"/>
    <mergeCell ref="B32:L32"/>
    <mergeCell ref="B33:L33"/>
    <mergeCell ref="AA53:AF53"/>
    <mergeCell ref="B58:G58"/>
    <mergeCell ref="M58:Q58"/>
    <mergeCell ref="W58:AA58"/>
    <mergeCell ref="A53:E53"/>
    <mergeCell ref="F53:G53"/>
    <mergeCell ref="H53:I53"/>
    <mergeCell ref="J53:K53"/>
    <mergeCell ref="L53:M53"/>
    <mergeCell ref="N53:O53"/>
    <mergeCell ref="N52:O52"/>
    <mergeCell ref="P52:Q52"/>
    <mergeCell ref="R52:S52"/>
    <mergeCell ref="T52:U52"/>
    <mergeCell ref="V52:Z52"/>
    <mergeCell ref="AA52:AF52"/>
    <mergeCell ref="B52:C52"/>
    <mergeCell ref="D52:E52"/>
    <mergeCell ref="F52:G52"/>
    <mergeCell ref="H52:I52"/>
    <mergeCell ref="J52:K52"/>
    <mergeCell ref="L52:M52"/>
    <mergeCell ref="N51:O51"/>
    <mergeCell ref="P51:Q51"/>
    <mergeCell ref="R51:S51"/>
    <mergeCell ref="T51:U51"/>
    <mergeCell ref="V51:Z51"/>
    <mergeCell ref="AA51:AF51"/>
    <mergeCell ref="B51:C51"/>
    <mergeCell ref="D51:E51"/>
    <mergeCell ref="F51:G51"/>
    <mergeCell ref="H51:I51"/>
    <mergeCell ref="J51:K51"/>
    <mergeCell ref="L51:M51"/>
    <mergeCell ref="N50:O50"/>
    <mergeCell ref="P50:Q50"/>
    <mergeCell ref="R50:S50"/>
    <mergeCell ref="T50:U50"/>
    <mergeCell ref="V50:Z50"/>
    <mergeCell ref="AA50:AF50"/>
    <mergeCell ref="B50:C50"/>
    <mergeCell ref="D50:E50"/>
    <mergeCell ref="F50:G50"/>
    <mergeCell ref="H50:I50"/>
    <mergeCell ref="J50:K50"/>
    <mergeCell ref="L50:M50"/>
    <mergeCell ref="N49:O49"/>
    <mergeCell ref="P49:Q49"/>
    <mergeCell ref="R49:S49"/>
    <mergeCell ref="T49:U49"/>
    <mergeCell ref="V49:Z49"/>
    <mergeCell ref="AA49:AF49"/>
    <mergeCell ref="B49:C49"/>
    <mergeCell ref="D49:E49"/>
    <mergeCell ref="F49:G49"/>
    <mergeCell ref="H49:I49"/>
    <mergeCell ref="J49:K49"/>
    <mergeCell ref="L49:M49"/>
    <mergeCell ref="N48:O48"/>
    <mergeCell ref="P48:Q48"/>
    <mergeCell ref="R48:S48"/>
    <mergeCell ref="T48:U48"/>
    <mergeCell ref="V48:Z48"/>
    <mergeCell ref="AA48:AF48"/>
    <mergeCell ref="B48:C48"/>
    <mergeCell ref="D48:E48"/>
    <mergeCell ref="F48:G48"/>
    <mergeCell ref="H48:I48"/>
    <mergeCell ref="J48:K48"/>
    <mergeCell ref="L48:M48"/>
    <mergeCell ref="N47:O47"/>
    <mergeCell ref="P47:Q47"/>
    <mergeCell ref="R47:S47"/>
    <mergeCell ref="T47:U47"/>
    <mergeCell ref="V47:Z47"/>
    <mergeCell ref="AA47:AF47"/>
    <mergeCell ref="B47:C47"/>
    <mergeCell ref="D47:E47"/>
    <mergeCell ref="F47:G47"/>
    <mergeCell ref="H47:I47"/>
    <mergeCell ref="J47:K47"/>
    <mergeCell ref="L47:M47"/>
    <mergeCell ref="N46:O46"/>
    <mergeCell ref="P46:Q46"/>
    <mergeCell ref="R46:S46"/>
    <mergeCell ref="T46:U46"/>
    <mergeCell ref="V46:Z46"/>
    <mergeCell ref="AA46:AF46"/>
    <mergeCell ref="B46:C46"/>
    <mergeCell ref="D46:E46"/>
    <mergeCell ref="F46:G46"/>
    <mergeCell ref="H46:I46"/>
    <mergeCell ref="J46:K46"/>
    <mergeCell ref="L46:M46"/>
    <mergeCell ref="N45:O45"/>
    <mergeCell ref="P45:Q45"/>
    <mergeCell ref="R45:S45"/>
    <mergeCell ref="T45:U45"/>
    <mergeCell ref="V45:Z45"/>
    <mergeCell ref="AA45:AF45"/>
    <mergeCell ref="B45:C45"/>
    <mergeCell ref="D45:E45"/>
    <mergeCell ref="F45:G45"/>
    <mergeCell ref="H45:I45"/>
    <mergeCell ref="J45:K45"/>
    <mergeCell ref="L45:M45"/>
    <mergeCell ref="AD41:AF41"/>
    <mergeCell ref="L42:U42"/>
    <mergeCell ref="P43:U43"/>
    <mergeCell ref="P44:Q44"/>
    <mergeCell ref="R44:S44"/>
    <mergeCell ref="T44:U44"/>
    <mergeCell ref="B34:L34"/>
    <mergeCell ref="B35:L35"/>
    <mergeCell ref="A36:L36"/>
    <mergeCell ref="Z27:AB27"/>
    <mergeCell ref="AD27:AF27"/>
    <mergeCell ref="M28:P28"/>
    <mergeCell ref="Q28:T28"/>
    <mergeCell ref="U28:X28"/>
    <mergeCell ref="Y28:AB28"/>
    <mergeCell ref="AC28:AF28"/>
    <mergeCell ref="AA22:AC22"/>
    <mergeCell ref="AD22:AF22"/>
    <mergeCell ref="A23:Q23"/>
    <mergeCell ref="R23:T23"/>
    <mergeCell ref="U23:W23"/>
    <mergeCell ref="X23:Z23"/>
    <mergeCell ref="AA23:AC23"/>
    <mergeCell ref="AD23:AF23"/>
    <mergeCell ref="X21:Z21"/>
    <mergeCell ref="AA21:AC21"/>
    <mergeCell ref="AD21:AF21"/>
    <mergeCell ref="B22:C22"/>
    <mergeCell ref="D22:G22"/>
    <mergeCell ref="H22:O22"/>
    <mergeCell ref="P22:Q22"/>
    <mergeCell ref="R22:T22"/>
    <mergeCell ref="U22:W22"/>
    <mergeCell ref="X22:Z22"/>
    <mergeCell ref="B21:C21"/>
    <mergeCell ref="D21:G21"/>
    <mergeCell ref="H21:O21"/>
    <mergeCell ref="P21:Q21"/>
    <mergeCell ref="R21:T21"/>
    <mergeCell ref="U21:W21"/>
    <mergeCell ref="AD19:AF19"/>
    <mergeCell ref="B20:C20"/>
    <mergeCell ref="D20:G20"/>
    <mergeCell ref="H20:O20"/>
    <mergeCell ref="P20:Q20"/>
    <mergeCell ref="R20:T20"/>
    <mergeCell ref="U20:W20"/>
    <mergeCell ref="X20:Z20"/>
    <mergeCell ref="AA20:AC20"/>
    <mergeCell ref="AD20:AF20"/>
    <mergeCell ref="AA18:AC18"/>
    <mergeCell ref="AD18:AF18"/>
    <mergeCell ref="B19:C19"/>
    <mergeCell ref="D19:G19"/>
    <mergeCell ref="H19:O19"/>
    <mergeCell ref="P19:Q19"/>
    <mergeCell ref="R19:T19"/>
    <mergeCell ref="U19:W19"/>
    <mergeCell ref="X19:Z19"/>
    <mergeCell ref="AA19:AC19"/>
    <mergeCell ref="B18:C18"/>
    <mergeCell ref="D18:G18"/>
    <mergeCell ref="H18:O18"/>
    <mergeCell ref="P18:Q18"/>
    <mergeCell ref="R18:T18"/>
    <mergeCell ref="U18:W18"/>
    <mergeCell ref="X18:Z18"/>
    <mergeCell ref="D15:G17"/>
    <mergeCell ref="H15:O17"/>
    <mergeCell ref="AA9:AC9"/>
    <mergeCell ref="AD9:AF9"/>
    <mergeCell ref="A10:Q10"/>
    <mergeCell ref="R10:T10"/>
    <mergeCell ref="U10:W10"/>
    <mergeCell ref="X10:Z10"/>
    <mergeCell ref="AA10:AC10"/>
    <mergeCell ref="B9:C9"/>
    <mergeCell ref="D9:F9"/>
    <mergeCell ref="G9:Q9"/>
    <mergeCell ref="R9:T9"/>
    <mergeCell ref="U9:W9"/>
    <mergeCell ref="X9:Z9"/>
    <mergeCell ref="AA7:AC7"/>
    <mergeCell ref="AD7:AF7"/>
    <mergeCell ref="B8:C8"/>
    <mergeCell ref="D8:F8"/>
    <mergeCell ref="G8:Q8"/>
    <mergeCell ref="R8:T8"/>
    <mergeCell ref="U8:W8"/>
    <mergeCell ref="X8:Z8"/>
    <mergeCell ref="AA8:AC8"/>
    <mergeCell ref="AD8:AF8"/>
    <mergeCell ref="B7:C7"/>
    <mergeCell ref="D7:F7"/>
    <mergeCell ref="G7:Q7"/>
    <mergeCell ref="R7:T7"/>
    <mergeCell ref="U7:W7"/>
    <mergeCell ref="X7:Z7"/>
    <mergeCell ref="AA5:AC5"/>
    <mergeCell ref="AD5:AF5"/>
    <mergeCell ref="B6:C6"/>
    <mergeCell ref="D6:F6"/>
    <mergeCell ref="G6:Q6"/>
    <mergeCell ref="R6:T6"/>
    <mergeCell ref="U6:W6"/>
    <mergeCell ref="X6:Z6"/>
    <mergeCell ref="AA6:AC6"/>
    <mergeCell ref="AD6:AF6"/>
    <mergeCell ref="R3:Z3"/>
    <mergeCell ref="R4:T4"/>
    <mergeCell ref="U4:W4"/>
    <mergeCell ref="X4:Z4"/>
    <mergeCell ref="B5:C5"/>
    <mergeCell ref="D5:F5"/>
    <mergeCell ref="G5:Q5"/>
    <mergeCell ref="R5:T5"/>
    <mergeCell ref="U5:W5"/>
    <mergeCell ref="X5:Z5"/>
  </mergeCells>
  <printOptions/>
  <pageMargins left="0.71875" right="0.590277777777778" top="0.786805555555556" bottom="0.786805555555556" header="0.313888888888889" footer="0.313888888888889"/>
  <pageSetup fitToHeight="1" fitToWidth="1" horizontalDpi="600" verticalDpi="600" orientation="landscape" paperSize="9" scale="31" r:id="rId1"/>
  <headerFooter alignWithMargins="0">
    <oddHeader>&amp;C&amp;"Times New Roman,обычный"&amp;16
 &amp;14 15&amp;R&amp;"Times New Roman,обычный"&amp;14Продовження додатка 3
Таблиця 6</oddHeader>
  </headerFooter>
  <ignoredErrors>
    <ignoredError sqref="W36 AA36" formula="1"/>
    <ignoredError sqref="AC36:AD36 P36:R36 U36:V36 AA37:AB37 O37 M37 P37:Q37 S37:U37 W37:Y37" evalError="1" formula="1" formulaRange="1"/>
    <ignoredError sqref="U23:Z23 AE37:AF37 R10 U10:Z10 R23 M36:N36 F53:U53" formulaRange="1"/>
    <ignoredError sqref="AA37:AB37 O37 M37 P37:Q37 S37:U37 W37:Y37" evalError="1" formulaRange="1"/>
    <ignoredError sqref="AC37:AD37 P35 N37 R37 V37 Z37 P33:P34 X32 AD6:AF10 T33:T34 AD19:AF23 X33:X34 P32 X35 T32 T35 AB33:AB34 AB32 AB35 T36 X36 AB36"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Inna</dc:creator>
  <cp:keywords/>
  <dc:description/>
  <cp:lastModifiedBy>Пользователь</cp:lastModifiedBy>
  <cp:lastPrinted>2021-07-21T10:54:59Z</cp:lastPrinted>
  <dcterms:created xsi:type="dcterms:W3CDTF">2003-03-13T16:00:00Z</dcterms:created>
  <dcterms:modified xsi:type="dcterms:W3CDTF">2021-08-11T18:09:11Z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