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00" tabRatio="837"/>
  </bookViews>
  <sheets>
    <sheet name="Осн. фін. пок." sheetId="14" r:id="rId1"/>
    <sheet name="I. Фін результат" sheetId="20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Лист2" sheetId="22" r:id="rId8"/>
    <sheet name="Лист1" sheetId="21" r:id="rId9"/>
    <sheet name="6.2. Інша інфо_2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[7]Inform!$E$6</definedName>
    <definedName name="ClDate_21">[8]Inform!$E$6</definedName>
    <definedName name="ClDate_25">[8]Inform!$E$6</definedName>
    <definedName name="ClDate_6">[9]Inform!$E$6</definedName>
    <definedName name="CompName">[7]Inform!$F$2</definedName>
    <definedName name="CompName_21">[8]Inform!$F$2</definedName>
    <definedName name="CompName_25">[8]Inform!$F$2</definedName>
    <definedName name="CompName_6">[9]Inform!$F$2</definedName>
    <definedName name="CompNameE">[7]Inform!$G$2</definedName>
    <definedName name="CompNameE_21">[8]Inform!$G$2</definedName>
    <definedName name="CompNameE_25">[8]Inform!$G$2</definedName>
    <definedName name="CompNameE_6">[9]Inform!$G$2</definedName>
    <definedName name="Cost_Category_National_ID">#REF!</definedName>
    <definedName name="Cе511">#REF!</definedName>
    <definedName name="d">'[10]МТР Газ України'!$B$4</definedName>
    <definedName name="dCPIb">[11]попер_роз!#REF!</definedName>
    <definedName name="dPPIb">[11]попер_роз!#REF!</definedName>
    <definedName name="ds">'[12]7  Інші витрати'!#REF!</definedName>
    <definedName name="Fact_Type_ID">#REF!</definedName>
    <definedName name="G">'[13]МТР Газ України'!$B$1</definedName>
    <definedName name="ij1sssss">'[14]7  Інші витрати'!#REF!</definedName>
    <definedName name="LastItem">[15]Лист1!$A$1</definedName>
    <definedName name="Load">'[16]МТР Газ України'!$B$4</definedName>
    <definedName name="Load_ID">'[17]МТР Газ України'!$B$4</definedName>
    <definedName name="Load_ID_10">'[18]7  Інші витрати'!#REF!</definedName>
    <definedName name="Load_ID_11">'[19]МТР Газ України'!$B$4</definedName>
    <definedName name="Load_ID_12">'[19]МТР Газ України'!$B$4</definedName>
    <definedName name="Load_ID_13">'[19]МТР Газ України'!$B$4</definedName>
    <definedName name="Load_ID_14">'[19]МТР Газ України'!$B$4</definedName>
    <definedName name="Load_ID_15">'[19]МТР Газ України'!$B$4</definedName>
    <definedName name="Load_ID_16">'[19]МТР Газ України'!$B$4</definedName>
    <definedName name="Load_ID_17">'[19]МТР Газ України'!$B$4</definedName>
    <definedName name="Load_ID_18">'[20]МТР Газ України'!$B$4</definedName>
    <definedName name="Load_ID_19">'[21]МТР Газ України'!$B$4</definedName>
    <definedName name="Load_ID_20">'[20]МТР Газ України'!$B$4</definedName>
    <definedName name="Load_ID_200">'[16]МТР Газ України'!$B$4</definedName>
    <definedName name="Load_ID_21">'[22]МТР Газ України'!$B$4</definedName>
    <definedName name="Load_ID_23">'[21]МТР Газ України'!$B$4</definedName>
    <definedName name="Load_ID_25">'[22]МТР Газ України'!$B$4</definedName>
    <definedName name="Load_ID_542">'[23]МТР Газ України'!$B$4</definedName>
    <definedName name="Load_ID_6">'[19]МТР Газ України'!$B$4</definedName>
    <definedName name="OpDate">[7]Inform!$E$5</definedName>
    <definedName name="OpDate_21">[8]Inform!$E$5</definedName>
    <definedName name="OpDate_25">[8]Inform!$E$5</definedName>
    <definedName name="OpDate_6">[9]Inform!$E$5</definedName>
    <definedName name="QR">[24]Inform!$E$5</definedName>
    <definedName name="qw">[5]Inform!$E$5</definedName>
    <definedName name="qwert">[5]Inform!$G$2</definedName>
    <definedName name="qwerty">'[4]МТР Газ України'!$B$4</definedName>
    <definedName name="ShowFil">[15]!ShowFil</definedName>
    <definedName name="SU_ID">#REF!</definedName>
    <definedName name="Time_ID">'[17]МТР Газ України'!$B$1</definedName>
    <definedName name="Time_ID_10">'[18]7  Інші витрати'!#REF!</definedName>
    <definedName name="Time_ID_11">'[19]МТР Газ України'!$B$1</definedName>
    <definedName name="Time_ID_12">'[19]МТР Газ України'!$B$1</definedName>
    <definedName name="Time_ID_13">'[19]МТР Газ України'!$B$1</definedName>
    <definedName name="Time_ID_14">'[19]МТР Газ України'!$B$1</definedName>
    <definedName name="Time_ID_15">'[19]МТР Газ України'!$B$1</definedName>
    <definedName name="Time_ID_16">'[19]МТР Газ України'!$B$1</definedName>
    <definedName name="Time_ID_17">'[19]МТР Газ України'!$B$1</definedName>
    <definedName name="Time_ID_18">'[20]МТР Газ України'!$B$1</definedName>
    <definedName name="Time_ID_19">'[21]МТР Газ України'!$B$1</definedName>
    <definedName name="Time_ID_20">'[20]МТР Газ України'!$B$1</definedName>
    <definedName name="Time_ID_21">'[22]МТР Газ України'!$B$1</definedName>
    <definedName name="Time_ID_23">'[21]МТР Газ України'!$B$1</definedName>
    <definedName name="Time_ID_25">'[22]МТР Газ України'!$B$1</definedName>
    <definedName name="Time_ID_6">'[19]МТР Газ України'!$B$1</definedName>
    <definedName name="Time_ID0">'[17]МТР Газ України'!$F$1</definedName>
    <definedName name="Time_ID0_10">'[18]7  Інші витрати'!#REF!</definedName>
    <definedName name="Time_ID0_11">'[19]МТР Газ України'!$F$1</definedName>
    <definedName name="Time_ID0_12">'[19]МТР Газ України'!$F$1</definedName>
    <definedName name="Time_ID0_13">'[19]МТР Газ України'!$F$1</definedName>
    <definedName name="Time_ID0_14">'[19]МТР Газ України'!$F$1</definedName>
    <definedName name="Time_ID0_15">'[19]МТР Газ України'!$F$1</definedName>
    <definedName name="Time_ID0_16">'[19]МТР Газ України'!$F$1</definedName>
    <definedName name="Time_ID0_17">'[19]МТР Газ України'!$F$1</definedName>
    <definedName name="Time_ID0_18">'[20]МТР Газ України'!$F$1</definedName>
    <definedName name="Time_ID0_19">'[21]МТР Газ України'!$F$1</definedName>
    <definedName name="Time_ID0_20">'[20]МТР Газ України'!$F$1</definedName>
    <definedName name="Time_ID0_21">'[22]МТР Газ України'!$F$1</definedName>
    <definedName name="Time_ID0_23">'[21]МТР Газ України'!$F$1</definedName>
    <definedName name="Time_ID0_25">'[22]МТР Газ України'!$F$1</definedName>
    <definedName name="Time_ID0_6">'[19]МТР Газ України'!$F$1</definedName>
    <definedName name="ttttttt">#REF!</definedName>
    <definedName name="Unit">[7]Inform!$E$38</definedName>
    <definedName name="Unit_21">[8]Inform!$E$38</definedName>
    <definedName name="Unit_25">[8]Inform!$E$38</definedName>
    <definedName name="Unit_6">[9]Inform!$E$38</definedName>
    <definedName name="WQER">'[25]МТР Газ України'!$B$4</definedName>
    <definedName name="wr">'[25]МТР Газ України'!$B$4</definedName>
    <definedName name="yyyy">#REF!</definedName>
    <definedName name="zx">'[4]МТР Газ України'!$F$1</definedName>
    <definedName name="zxc">[5]Inform!$E$38</definedName>
    <definedName name="а">'[14]7  Інші витрати'!#REF!</definedName>
    <definedName name="ав">#REF!</definedName>
    <definedName name="аен">'[25]МТР Газ України'!$B$4</definedName>
    <definedName name="_xlnm.Database">'[26]Ener '!$A$1:$G$2645</definedName>
    <definedName name="в">'[27]МТР Газ України'!$F$1</definedName>
    <definedName name="ватт">'[28]БАЗА  '!#REF!</definedName>
    <definedName name="Д">'[16]МТР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результат'!$3:$5</definedName>
    <definedName name="_xlnm.Print_Titles" localSheetId="2">'ІІ. Розр. з бюджетом'!$3:$5</definedName>
    <definedName name="_xlnm.Print_Titles" localSheetId="3">'ІІІ. Рух грош. коштів'!$3:$5</definedName>
    <definedName name="_xlnm.Print_Titles" localSheetId="0">'Осн. фін. пок.'!$5:$7</definedName>
    <definedName name="Заголовки_для_печати_МИ">'[29]1993'!$A$1:$IV$3,'[29]1993'!$A$1:$A$65536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і">[31]Inform!$F$2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'[13]МТР Газ України'!$B$1</definedName>
    <definedName name="іцу">[24]Inform!$G$2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Коефіцієнти'!$A$1:$H$24</definedName>
    <definedName name="_xlnm.Print_Area" localSheetId="6">'6.1. Інша інфо_1'!$A$1:$O$68</definedName>
    <definedName name="_xlnm.Print_Area" localSheetId="9">'6.2. Інша інфо_2'!$A$1:$AE$49</definedName>
    <definedName name="_xlnm.Print_Area" localSheetId="4">'IV. Кап. інвестиції'!$A$1:$J$15</definedName>
    <definedName name="_xlnm.Print_Area" localSheetId="2">'ІІ. Розр. з бюджетом'!$A$1:$J$48</definedName>
    <definedName name="_xlnm.Print_Area" localSheetId="3">'ІІІ. Рух грош. коштів'!$A$1:$J$74</definedName>
    <definedName name="_xlnm.Print_Area" localSheetId="0">'Осн. фін. пок.'!$A$1:$J$98</definedName>
    <definedName name="п">'[14]7  Інші витрати'!#REF!</definedName>
    <definedName name="пдв">'[16]МТР Газ України'!$B$4</definedName>
    <definedName name="пдв_утг">'[16]МТР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[32]Inform!$E$6</definedName>
    <definedName name="р">#REF!</definedName>
    <definedName name="т">[33]Inform!$E$6</definedName>
    <definedName name="тариф">[34]Inform!$G$2</definedName>
    <definedName name="уйцукйцуйу">#REF!</definedName>
    <definedName name="уке">[35]Inform!$G$2</definedName>
    <definedName name="УТГ">'[16]МТР Газ України'!$B$4</definedName>
    <definedName name="фів">'[25]МТР Газ України'!$B$4</definedName>
    <definedName name="фіваіф">'[30]7  Інші витрати'!#REF!</definedName>
    <definedName name="фф">'[27]МТР Газ України'!$F$1</definedName>
    <definedName name="ц">'[14]7  Інші витрати'!#REF!</definedName>
    <definedName name="ччч">'[36]БАЗА  '!#REF!</definedName>
    <definedName name="ш">#REF!</definedName>
  </definedNames>
  <calcPr calcId="125725" fullCalcOnLoad="1"/>
</workbook>
</file>

<file path=xl/calcChain.xml><?xml version="1.0" encoding="utf-8"?>
<calcChain xmlns="http://schemas.openxmlformats.org/spreadsheetml/2006/main">
  <c r="D58" i="21"/>
  <c r="D60"/>
  <c r="D59"/>
  <c r="D57"/>
  <c r="C51"/>
  <c r="E43"/>
  <c r="D43"/>
  <c r="D41"/>
  <c r="D40"/>
  <c r="D39"/>
  <c r="E73"/>
  <c r="D73"/>
  <c r="C73"/>
  <c r="B73"/>
  <c r="E64"/>
  <c r="C64"/>
  <c r="B64"/>
  <c r="E52"/>
  <c r="D52"/>
  <c r="C52"/>
  <c r="B52"/>
  <c r="E44"/>
  <c r="D44"/>
  <c r="C44"/>
  <c r="B44"/>
  <c r="F69" i="18"/>
  <c r="J49" i="14"/>
  <c r="I49"/>
  <c r="H49"/>
  <c r="G49"/>
  <c r="J45"/>
  <c r="I45"/>
  <c r="H45"/>
  <c r="G45"/>
  <c r="J44"/>
  <c r="I44"/>
  <c r="H44"/>
  <c r="G44"/>
  <c r="J43"/>
  <c r="I43"/>
  <c r="H43"/>
  <c r="G43"/>
  <c r="J42"/>
  <c r="I42"/>
  <c r="H42"/>
  <c r="G42"/>
  <c r="J41"/>
  <c r="I41"/>
  <c r="H41"/>
  <c r="G41"/>
  <c r="J40"/>
  <c r="I40"/>
  <c r="H40"/>
  <c r="G40"/>
  <c r="J39"/>
  <c r="I39"/>
  <c r="H39"/>
  <c r="G39"/>
  <c r="J38"/>
  <c r="I38"/>
  <c r="H38"/>
  <c r="G38"/>
  <c r="J37"/>
  <c r="I37"/>
  <c r="H37"/>
  <c r="G37"/>
  <c r="J36"/>
  <c r="I36"/>
  <c r="H36"/>
  <c r="G36"/>
  <c r="J32"/>
  <c r="I32"/>
  <c r="H32"/>
  <c r="G32"/>
  <c r="J29"/>
  <c r="I29"/>
  <c r="H29"/>
  <c r="G29"/>
  <c r="J28"/>
  <c r="I28"/>
  <c r="H28"/>
  <c r="G28"/>
  <c r="J27"/>
  <c r="I27"/>
  <c r="H27"/>
  <c r="G27"/>
  <c r="J26"/>
  <c r="I26"/>
  <c r="H26"/>
  <c r="G26"/>
  <c r="J22"/>
  <c r="I22"/>
  <c r="H22"/>
  <c r="G22"/>
  <c r="J21"/>
  <c r="I21"/>
  <c r="H21"/>
  <c r="G21"/>
  <c r="J20"/>
  <c r="I20"/>
  <c r="H20"/>
  <c r="G20"/>
  <c r="J19"/>
  <c r="J25" s="1"/>
  <c r="J30" s="1"/>
  <c r="J58" s="1"/>
  <c r="I19"/>
  <c r="H19"/>
  <c r="G19"/>
  <c r="E76"/>
  <c r="F76"/>
  <c r="F61"/>
  <c r="E72"/>
  <c r="F72"/>
  <c r="E69"/>
  <c r="F69"/>
  <c r="E67"/>
  <c r="F67"/>
  <c r="E66"/>
  <c r="F66"/>
  <c r="F65"/>
  <c r="F70"/>
  <c r="B24" i="21"/>
  <c r="B23"/>
  <c r="B19"/>
  <c r="B18"/>
  <c r="B15"/>
  <c r="B9"/>
  <c r="B202"/>
  <c r="B200"/>
  <c r="B193"/>
  <c r="B192"/>
  <c r="B172"/>
  <c r="B179"/>
  <c r="B176"/>
  <c r="B186"/>
  <c r="B185"/>
  <c r="B187"/>
  <c r="B175"/>
  <c r="B198"/>
  <c r="B196"/>
  <c r="B195"/>
  <c r="B131"/>
  <c r="B126"/>
  <c r="B124"/>
  <c r="B120"/>
  <c r="B119"/>
  <c r="B132"/>
  <c r="B145"/>
  <c r="B144"/>
  <c r="B143"/>
  <c r="B140"/>
  <c r="B139"/>
  <c r="B195" i="22"/>
  <c r="B176"/>
  <c r="B175"/>
  <c r="B174"/>
  <c r="B172"/>
  <c r="B173"/>
  <c r="B171"/>
  <c r="B179"/>
  <c r="B199"/>
  <c r="B198"/>
  <c r="B197"/>
  <c r="B196"/>
  <c r="B201"/>
  <c r="B154"/>
  <c r="B159"/>
  <c r="B158"/>
  <c r="B157"/>
  <c r="B156"/>
  <c r="B155"/>
  <c r="B151"/>
  <c r="B150"/>
  <c r="B149"/>
  <c r="B148"/>
  <c r="B147"/>
  <c r="B160"/>
  <c r="B146"/>
  <c r="B129"/>
  <c r="B128"/>
  <c r="B127"/>
  <c r="B126"/>
  <c r="B125"/>
  <c r="B124"/>
  <c r="B123"/>
  <c r="B122"/>
  <c r="B121"/>
  <c r="B120"/>
  <c r="B119"/>
  <c r="B118"/>
  <c r="B117"/>
  <c r="B116"/>
  <c r="B97"/>
  <c r="B88"/>
  <c r="B103"/>
  <c r="B84"/>
  <c r="B106"/>
  <c r="B74"/>
  <c r="B36"/>
  <c r="G28" i="9"/>
  <c r="L28"/>
  <c r="H22" i="10"/>
  <c r="H20"/>
  <c r="H17"/>
  <c r="H21"/>
  <c r="J20"/>
  <c r="J22"/>
  <c r="J17"/>
  <c r="J18"/>
  <c r="F11" i="3"/>
  <c r="J8" i="18"/>
  <c r="I8"/>
  <c r="H8"/>
  <c r="H7" s="1"/>
  <c r="G8"/>
  <c r="J32" i="19"/>
  <c r="E21"/>
  <c r="D21"/>
  <c r="D20" s="1"/>
  <c r="J21"/>
  <c r="J35" i="14"/>
  <c r="I21" i="19"/>
  <c r="I35" i="14"/>
  <c r="H21" i="19"/>
  <c r="H35" i="14" s="1"/>
  <c r="G21" i="19"/>
  <c r="G35" i="14"/>
  <c r="J91" i="20"/>
  <c r="H91"/>
  <c r="G91"/>
  <c r="I91"/>
  <c r="H97"/>
  <c r="I97"/>
  <c r="J97"/>
  <c r="J93"/>
  <c r="I93"/>
  <c r="H93"/>
  <c r="J92"/>
  <c r="I92"/>
  <c r="H92"/>
  <c r="J96"/>
  <c r="I96"/>
  <c r="H96"/>
  <c r="B215" i="21"/>
  <c r="B210"/>
  <c r="B153"/>
  <c r="B209"/>
  <c r="B218"/>
  <c r="B216"/>
  <c r="B160"/>
  <c r="B159"/>
  <c r="B158"/>
  <c r="B155"/>
  <c r="B154"/>
  <c r="B214"/>
  <c r="B212"/>
  <c r="B211"/>
  <c r="B208"/>
  <c r="E91" i="20"/>
  <c r="E41"/>
  <c r="E13" i="14"/>
  <c r="C44" i="18"/>
  <c r="D91" i="20"/>
  <c r="D8"/>
  <c r="D10" i="14"/>
  <c r="C91" i="20"/>
  <c r="O43" i="9"/>
  <c r="Q43"/>
  <c r="S43"/>
  <c r="M41"/>
  <c r="G43"/>
  <c r="I43"/>
  <c r="K43"/>
  <c r="E43"/>
  <c r="F15" i="10"/>
  <c r="H15"/>
  <c r="D15"/>
  <c r="F11"/>
  <c r="H11"/>
  <c r="J11"/>
  <c r="L11"/>
  <c r="D11"/>
  <c r="N11"/>
  <c r="H20" i="19"/>
  <c r="H34" i="14" s="1"/>
  <c r="I20" i="19"/>
  <c r="I34" i="14"/>
  <c r="J20" i="19"/>
  <c r="J34" i="14" s="1"/>
  <c r="G20" i="19"/>
  <c r="G34" i="14"/>
  <c r="E20" i="19"/>
  <c r="C20"/>
  <c r="C34" i="14" s="1"/>
  <c r="C84" i="20"/>
  <c r="D84"/>
  <c r="E84"/>
  <c r="W19" i="9"/>
  <c r="Q19"/>
  <c r="T19"/>
  <c r="N9"/>
  <c r="R9"/>
  <c r="K53" i="10"/>
  <c r="G78" i="14"/>
  <c r="H78"/>
  <c r="I78"/>
  <c r="J78"/>
  <c r="C82"/>
  <c r="D82"/>
  <c r="E82"/>
  <c r="C78"/>
  <c r="D78"/>
  <c r="E78"/>
  <c r="F83"/>
  <c r="F84"/>
  <c r="F85"/>
  <c r="F79"/>
  <c r="F78" s="1"/>
  <c r="F80"/>
  <c r="F81"/>
  <c r="D68" i="10"/>
  <c r="G68"/>
  <c r="J68"/>
  <c r="M65"/>
  <c r="M62"/>
  <c r="M59"/>
  <c r="J44"/>
  <c r="N13"/>
  <c r="N14"/>
  <c r="N17"/>
  <c r="D19"/>
  <c r="N21"/>
  <c r="J24"/>
  <c r="C93" i="14"/>
  <c r="J25" i="10"/>
  <c r="F94" i="14"/>
  <c r="D25" i="10"/>
  <c r="C94" i="14"/>
  <c r="D26" i="10"/>
  <c r="C95" i="14"/>
  <c r="F93"/>
  <c r="H24" i="10"/>
  <c r="E93" i="14"/>
  <c r="H26" i="10"/>
  <c r="E95" i="14"/>
  <c r="H19" i="10"/>
  <c r="H23" s="1"/>
  <c r="F19"/>
  <c r="D92" i="14"/>
  <c r="D93"/>
  <c r="D94"/>
  <c r="D95"/>
  <c r="D91"/>
  <c r="E91"/>
  <c r="C91"/>
  <c r="F89"/>
  <c r="F90"/>
  <c r="F88"/>
  <c r="F87" s="1"/>
  <c r="E89"/>
  <c r="E90"/>
  <c r="E88"/>
  <c r="D89"/>
  <c r="D90"/>
  <c r="D88"/>
  <c r="C89"/>
  <c r="C90"/>
  <c r="C88"/>
  <c r="C87" s="1"/>
  <c r="E87"/>
  <c r="E62"/>
  <c r="C62"/>
  <c r="D73"/>
  <c r="E73"/>
  <c r="E61"/>
  <c r="C73"/>
  <c r="C61"/>
  <c r="D9"/>
  <c r="G42" i="10" s="1"/>
  <c r="G44" s="1"/>
  <c r="D53" i="20"/>
  <c r="D15" i="14"/>
  <c r="D19"/>
  <c r="D20"/>
  <c r="D21"/>
  <c r="D22"/>
  <c r="D26"/>
  <c r="D27"/>
  <c r="D28"/>
  <c r="D29"/>
  <c r="E9"/>
  <c r="E53" i="20"/>
  <c r="E15" i="14"/>
  <c r="E19"/>
  <c r="E20"/>
  <c r="E21"/>
  <c r="E22"/>
  <c r="E26"/>
  <c r="E27"/>
  <c r="E28"/>
  <c r="E29"/>
  <c r="C8" i="20"/>
  <c r="C10" i="14"/>
  <c r="C9"/>
  <c r="D42" i="10"/>
  <c r="D44"/>
  <c r="C18" i="20"/>
  <c r="C12" i="14"/>
  <c r="C41" i="20"/>
  <c r="C13" i="14"/>
  <c r="C16" s="1"/>
  <c r="C25" s="1"/>
  <c r="C30" s="1"/>
  <c r="C49" i="20"/>
  <c r="C14" i="14"/>
  <c r="C53" i="20"/>
  <c r="C15" i="14"/>
  <c r="C20"/>
  <c r="C22"/>
  <c r="C19"/>
  <c r="C21"/>
  <c r="C65" i="20"/>
  <c r="C23" i="14"/>
  <c r="C68" i="20"/>
  <c r="C24" i="14"/>
  <c r="C26"/>
  <c r="C27"/>
  <c r="C28"/>
  <c r="C29"/>
  <c r="F19" i="11"/>
  <c r="D19"/>
  <c r="C6" i="3"/>
  <c r="F15" i="11"/>
  <c r="D15"/>
  <c r="E86" i="20"/>
  <c r="E88"/>
  <c r="E65" i="14"/>
  <c r="E70"/>
  <c r="C65"/>
  <c r="C70"/>
  <c r="H6" i="3"/>
  <c r="I6"/>
  <c r="J6"/>
  <c r="G6"/>
  <c r="F6"/>
  <c r="D6"/>
  <c r="D56" i="14"/>
  <c r="E6" i="3"/>
  <c r="E56" i="14"/>
  <c r="F18" i="11" s="1"/>
  <c r="D48" i="14"/>
  <c r="D53"/>
  <c r="E48"/>
  <c r="E53"/>
  <c r="F48"/>
  <c r="C13" i="18"/>
  <c r="C7"/>
  <c r="C21"/>
  <c r="C39"/>
  <c r="C50"/>
  <c r="C51" i="14"/>
  <c r="C54" i="18"/>
  <c r="C52"/>
  <c r="C61"/>
  <c r="C59"/>
  <c r="C48" i="14"/>
  <c r="C53"/>
  <c r="D49"/>
  <c r="E49"/>
  <c r="C49"/>
  <c r="F70" i="18"/>
  <c r="F53" i="14"/>
  <c r="F66" i="18"/>
  <c r="F65"/>
  <c r="F60"/>
  <c r="F64"/>
  <c r="F63"/>
  <c r="F62"/>
  <c r="J61"/>
  <c r="J59"/>
  <c r="I61"/>
  <c r="I59"/>
  <c r="H61"/>
  <c r="H59"/>
  <c r="G61"/>
  <c r="G59"/>
  <c r="E61"/>
  <c r="E59"/>
  <c r="D61"/>
  <c r="D59"/>
  <c r="J54"/>
  <c r="J52"/>
  <c r="I54"/>
  <c r="I52"/>
  <c r="I67"/>
  <c r="H54"/>
  <c r="H52"/>
  <c r="G54"/>
  <c r="G52"/>
  <c r="E54"/>
  <c r="E52"/>
  <c r="D54"/>
  <c r="D52"/>
  <c r="F53"/>
  <c r="F55"/>
  <c r="F56"/>
  <c r="F57"/>
  <c r="F58"/>
  <c r="H44"/>
  <c r="I44"/>
  <c r="J44"/>
  <c r="G44"/>
  <c r="D44"/>
  <c r="E44"/>
  <c r="F44"/>
  <c r="F49"/>
  <c r="F48"/>
  <c r="F47"/>
  <c r="F46"/>
  <c r="F45"/>
  <c r="H39"/>
  <c r="H50"/>
  <c r="I39"/>
  <c r="I50"/>
  <c r="J39"/>
  <c r="J50"/>
  <c r="G39"/>
  <c r="G50"/>
  <c r="F50"/>
  <c r="F51" i="14"/>
  <c r="D39" i="18"/>
  <c r="D50"/>
  <c r="E39"/>
  <c r="E50"/>
  <c r="E51" i="14"/>
  <c r="H31" i="18"/>
  <c r="H25"/>
  <c r="I31"/>
  <c r="I25"/>
  <c r="J31"/>
  <c r="J25"/>
  <c r="G31"/>
  <c r="G25"/>
  <c r="F25"/>
  <c r="D31"/>
  <c r="D25"/>
  <c r="E31"/>
  <c r="E25"/>
  <c r="C31"/>
  <c r="C25"/>
  <c r="C18"/>
  <c r="C37"/>
  <c r="J21"/>
  <c r="J18"/>
  <c r="I21"/>
  <c r="I18"/>
  <c r="H21"/>
  <c r="G21"/>
  <c r="E21"/>
  <c r="E18"/>
  <c r="D21"/>
  <c r="H13"/>
  <c r="I13"/>
  <c r="I7"/>
  <c r="I37" s="1"/>
  <c r="I68" s="1"/>
  <c r="I71" s="1"/>
  <c r="J13"/>
  <c r="J7"/>
  <c r="J37" s="1"/>
  <c r="J68" s="1"/>
  <c r="J71" s="1"/>
  <c r="G13"/>
  <c r="G7"/>
  <c r="D13"/>
  <c r="D7"/>
  <c r="E13"/>
  <c r="F9"/>
  <c r="F10"/>
  <c r="F11"/>
  <c r="F49" i="14"/>
  <c r="F12" i="18"/>
  <c r="F14"/>
  <c r="F15"/>
  <c r="F16"/>
  <c r="F17"/>
  <c r="F22"/>
  <c r="F23"/>
  <c r="F24"/>
  <c r="F26"/>
  <c r="F27"/>
  <c r="F28"/>
  <c r="F29"/>
  <c r="F30"/>
  <c r="F32"/>
  <c r="F33"/>
  <c r="F34"/>
  <c r="F35"/>
  <c r="F36"/>
  <c r="F19"/>
  <c r="F20"/>
  <c r="C30" i="19"/>
  <c r="C42" i="14"/>
  <c r="C35" i="19"/>
  <c r="C43" i="14"/>
  <c r="C40" i="19"/>
  <c r="D45" i="14"/>
  <c r="E45"/>
  <c r="C45"/>
  <c r="D44"/>
  <c r="E44"/>
  <c r="C44"/>
  <c r="D41"/>
  <c r="E41"/>
  <c r="C41"/>
  <c r="D40"/>
  <c r="E40"/>
  <c r="C40"/>
  <c r="D39"/>
  <c r="E39"/>
  <c r="C39"/>
  <c r="D38"/>
  <c r="E38"/>
  <c r="C38"/>
  <c r="D37"/>
  <c r="E37"/>
  <c r="C37"/>
  <c r="D36"/>
  <c r="E36"/>
  <c r="C36"/>
  <c r="D35"/>
  <c r="E35"/>
  <c r="C35"/>
  <c r="E34"/>
  <c r="H40" i="19"/>
  <c r="I40"/>
  <c r="J40"/>
  <c r="G40"/>
  <c r="D40"/>
  <c r="E40"/>
  <c r="F40"/>
  <c r="J35"/>
  <c r="I35"/>
  <c r="H35"/>
  <c r="G35"/>
  <c r="E35"/>
  <c r="E43" i="14"/>
  <c r="D35" i="19"/>
  <c r="D43" i="14"/>
  <c r="H30" i="19"/>
  <c r="H43"/>
  <c r="H46" i="14" s="1"/>
  <c r="I30" i="19"/>
  <c r="I43"/>
  <c r="I46" i="14"/>
  <c r="J30" i="19"/>
  <c r="J43"/>
  <c r="J46" i="14" s="1"/>
  <c r="G30" i="19"/>
  <c r="D30"/>
  <c r="D42" i="14"/>
  <c r="E30" i="19"/>
  <c r="F22"/>
  <c r="F36" i="14"/>
  <c r="F23" i="19"/>
  <c r="F37" i="14"/>
  <c r="F24" i="19"/>
  <c r="F38" i="14"/>
  <c r="F25" i="19"/>
  <c r="F39" i="14"/>
  <c r="F26" i="19"/>
  <c r="F40" i="14"/>
  <c r="F27" i="19"/>
  <c r="F41" i="14"/>
  <c r="F28" i="19"/>
  <c r="F29"/>
  <c r="F31"/>
  <c r="F32"/>
  <c r="F33"/>
  <c r="F34"/>
  <c r="F36"/>
  <c r="F44" i="14"/>
  <c r="F37" i="19"/>
  <c r="F38"/>
  <c r="F45" i="14"/>
  <c r="F39" i="19"/>
  <c r="F41"/>
  <c r="F42"/>
  <c r="C8"/>
  <c r="H8"/>
  <c r="I8"/>
  <c r="J8"/>
  <c r="G8"/>
  <c r="F8"/>
  <c r="E8"/>
  <c r="G11" i="14"/>
  <c r="G16"/>
  <c r="H11"/>
  <c r="H16"/>
  <c r="I11"/>
  <c r="I16"/>
  <c r="J11"/>
  <c r="J16"/>
  <c r="D32"/>
  <c r="E32"/>
  <c r="C31"/>
  <c r="E8" i="20"/>
  <c r="E10" i="14"/>
  <c r="E11"/>
  <c r="F7" i="11" s="1"/>
  <c r="F87" i="20"/>
  <c r="E87"/>
  <c r="H85"/>
  <c r="I85"/>
  <c r="J85"/>
  <c r="G85"/>
  <c r="F85"/>
  <c r="E85"/>
  <c r="F86"/>
  <c r="F88"/>
  <c r="D18"/>
  <c r="D12" i="14"/>
  <c r="D41" i="20"/>
  <c r="D13" i="14"/>
  <c r="D68" i="20"/>
  <c r="D24" i="14"/>
  <c r="E18" i="20"/>
  <c r="E12" i="14"/>
  <c r="E68" i="20"/>
  <c r="E24" i="14"/>
  <c r="G8" i="20"/>
  <c r="G17"/>
  <c r="G60"/>
  <c r="H8"/>
  <c r="I8"/>
  <c r="I17"/>
  <c r="J8"/>
  <c r="J17"/>
  <c r="G18"/>
  <c r="H18"/>
  <c r="I18"/>
  <c r="J18"/>
  <c r="F42"/>
  <c r="F43"/>
  <c r="F44"/>
  <c r="F45"/>
  <c r="F46"/>
  <c r="F47"/>
  <c r="F48"/>
  <c r="F54"/>
  <c r="F55"/>
  <c r="F56"/>
  <c r="F57"/>
  <c r="F58"/>
  <c r="F59"/>
  <c r="F62"/>
  <c r="F20" i="14"/>
  <c r="F64" i="20"/>
  <c r="F22" i="14"/>
  <c r="F69" i="20"/>
  <c r="F70"/>
  <c r="F72"/>
  <c r="F26" i="14"/>
  <c r="F75" i="20"/>
  <c r="F29" i="14"/>
  <c r="G41" i="20"/>
  <c r="F41"/>
  <c r="G53"/>
  <c r="G68"/>
  <c r="G24" i="14"/>
  <c r="H41" i="20"/>
  <c r="H53"/>
  <c r="H68"/>
  <c r="H24" i="14"/>
  <c r="I41" i="20"/>
  <c r="I53"/>
  <c r="I68"/>
  <c r="I24" i="14"/>
  <c r="J41" i="20"/>
  <c r="J53"/>
  <c r="J68"/>
  <c r="J24" i="14"/>
  <c r="D49" i="20"/>
  <c r="D14" i="14"/>
  <c r="F50" i="20"/>
  <c r="F51"/>
  <c r="F52"/>
  <c r="E17" i="18"/>
  <c r="E7" s="1"/>
  <c r="E37" s="1"/>
  <c r="G49" i="20"/>
  <c r="H49"/>
  <c r="I49"/>
  <c r="J49"/>
  <c r="D65"/>
  <c r="D23" i="14"/>
  <c r="E65" i="20"/>
  <c r="E23" i="14"/>
  <c r="F7" i="20"/>
  <c r="F9" i="14"/>
  <c r="M42" i="10" s="1"/>
  <c r="M44" s="1"/>
  <c r="F61" i="20"/>
  <c r="F19" i="14"/>
  <c r="F63" i="20"/>
  <c r="F21" i="14"/>
  <c r="F66" i="20"/>
  <c r="F67"/>
  <c r="F73"/>
  <c r="F27" i="14"/>
  <c r="F74" i="20"/>
  <c r="F28" i="14"/>
  <c r="G65" i="20"/>
  <c r="G23" i="14"/>
  <c r="H65" i="20"/>
  <c r="H79"/>
  <c r="I65"/>
  <c r="I23" i="14"/>
  <c r="I79" i="20"/>
  <c r="J65"/>
  <c r="J23" i="14"/>
  <c r="J98" i="20"/>
  <c r="H98"/>
  <c r="G98"/>
  <c r="E98"/>
  <c r="D98"/>
  <c r="C98"/>
  <c r="F97"/>
  <c r="F96"/>
  <c r="F95"/>
  <c r="F93"/>
  <c r="F92"/>
  <c r="J84"/>
  <c r="I84"/>
  <c r="H84"/>
  <c r="G84"/>
  <c r="F84"/>
  <c r="F81"/>
  <c r="F78"/>
  <c r="F32" i="14"/>
  <c r="F40" i="2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V7" i="9"/>
  <c r="V9" s="1"/>
  <c r="F16" i="20"/>
  <c r="F15"/>
  <c r="F14"/>
  <c r="F13"/>
  <c r="F12"/>
  <c r="F11"/>
  <c r="F10"/>
  <c r="F9"/>
  <c r="F12" i="19"/>
  <c r="F15"/>
  <c r="F16"/>
  <c r="F17"/>
  <c r="G29" i="9"/>
  <c r="G30"/>
  <c r="AB28"/>
  <c r="AC28"/>
  <c r="AD28"/>
  <c r="AE28"/>
  <c r="AB29"/>
  <c r="AC29"/>
  <c r="AA29"/>
  <c r="AD29"/>
  <c r="AE29"/>
  <c r="AB30"/>
  <c r="AC30"/>
  <c r="AD30"/>
  <c r="AE30"/>
  <c r="L29"/>
  <c r="L30"/>
  <c r="Q28"/>
  <c r="Q29"/>
  <c r="Q30"/>
  <c r="V28"/>
  <c r="V29"/>
  <c r="V30"/>
  <c r="L12" i="10"/>
  <c r="L13"/>
  <c r="L14"/>
  <c r="L16"/>
  <c r="F21" i="19"/>
  <c r="F35" i="14" s="1"/>
  <c r="F14" i="19"/>
  <c r="F11"/>
  <c r="F10"/>
  <c r="F9"/>
  <c r="M42" i="9"/>
  <c r="M43"/>
  <c r="AB31"/>
  <c r="Z31"/>
  <c r="Y31"/>
  <c r="X31"/>
  <c r="W31"/>
  <c r="U31"/>
  <c r="T31"/>
  <c r="S31"/>
  <c r="R31"/>
  <c r="P31"/>
  <c r="O31"/>
  <c r="N31"/>
  <c r="M31"/>
  <c r="K31"/>
  <c r="J31"/>
  <c r="I31"/>
  <c r="H31"/>
  <c r="F12" i="3"/>
  <c r="F10"/>
  <c r="F9"/>
  <c r="F8"/>
  <c r="F7"/>
  <c r="F42" i="18"/>
  <c r="F41"/>
  <c r="F40"/>
  <c r="B18" i="14"/>
  <c r="D67" i="18"/>
  <c r="D52" i="14"/>
  <c r="E42"/>
  <c r="F61" i="18"/>
  <c r="D17" i="20"/>
  <c r="F17" i="11"/>
  <c r="F21" i="18"/>
  <c r="F39"/>
  <c r="G79" i="20"/>
  <c r="F54" i="18"/>
  <c r="C56" i="14"/>
  <c r="D18" i="11"/>
  <c r="D17"/>
  <c r="C17" i="20"/>
  <c r="D79"/>
  <c r="C79"/>
  <c r="D80"/>
  <c r="C83"/>
  <c r="C89"/>
  <c r="C17" i="14"/>
  <c r="C71" i="20"/>
  <c r="C76"/>
  <c r="C18" i="19"/>
  <c r="C78" i="20"/>
  <c r="C32" i="14"/>
  <c r="D23" i="10"/>
  <c r="C92" i="14" s="1"/>
  <c r="C67" i="18"/>
  <c r="C52" i="14"/>
  <c r="E80" i="20"/>
  <c r="H17"/>
  <c r="H60"/>
  <c r="E17"/>
  <c r="J79"/>
  <c r="F68"/>
  <c r="F24" i="14"/>
  <c r="F65" i="20"/>
  <c r="F23" i="14"/>
  <c r="F49" i="20"/>
  <c r="F14" i="14"/>
  <c r="H80" i="20"/>
  <c r="F18"/>
  <c r="F12" i="14"/>
  <c r="G80" i="20"/>
  <c r="J60"/>
  <c r="J83"/>
  <c r="J89"/>
  <c r="J17" i="14"/>
  <c r="J18" s="1"/>
  <c r="F8" i="20"/>
  <c r="J80"/>
  <c r="I80"/>
  <c r="F10" i="14"/>
  <c r="F11" s="1"/>
  <c r="F17" i="20"/>
  <c r="E43" i="19"/>
  <c r="E46" i="14" s="1"/>
  <c r="F35" i="19"/>
  <c r="F43" i="14"/>
  <c r="G43" i="19"/>
  <c r="G46" i="14" s="1"/>
  <c r="F20" i="19"/>
  <c r="F34" i="14" s="1"/>
  <c r="J71" i="20"/>
  <c r="J76"/>
  <c r="F79"/>
  <c r="I60"/>
  <c r="I83"/>
  <c r="I89"/>
  <c r="I17" i="14"/>
  <c r="I18" s="1"/>
  <c r="F53" i="20"/>
  <c r="F15" i="14"/>
  <c r="F13" i="19"/>
  <c r="L24" i="10"/>
  <c r="E17" i="11"/>
  <c r="E67" i="18"/>
  <c r="E52" i="14"/>
  <c r="F31" i="18"/>
  <c r="D18"/>
  <c r="G18"/>
  <c r="F18"/>
  <c r="F94" i="20"/>
  <c r="F91" i="14"/>
  <c r="D37" i="18"/>
  <c r="D50" i="14"/>
  <c r="D54" s="1"/>
  <c r="J19" i="10"/>
  <c r="L19" s="1"/>
  <c r="AA30" i="9"/>
  <c r="AC31"/>
  <c r="V31"/>
  <c r="L31"/>
  <c r="AE31"/>
  <c r="G31"/>
  <c r="N18" i="10"/>
  <c r="L18"/>
  <c r="J26"/>
  <c r="N22"/>
  <c r="L22"/>
  <c r="M68"/>
  <c r="F82" i="14"/>
  <c r="J23" i="10"/>
  <c r="N23" s="1"/>
  <c r="L20"/>
  <c r="L17"/>
  <c r="D87" i="14"/>
  <c r="N25" i="10"/>
  <c r="H25"/>
  <c r="L21"/>
  <c r="J15"/>
  <c r="L26"/>
  <c r="F95" i="14"/>
  <c r="N26" i="10"/>
  <c r="F92" i="14"/>
  <c r="N15" i="10"/>
  <c r="L15"/>
  <c r="L25"/>
  <c r="E94" i="14"/>
  <c r="D51"/>
  <c r="D68" i="18"/>
  <c r="H67"/>
  <c r="F52"/>
  <c r="G67"/>
  <c r="F59"/>
  <c r="H18"/>
  <c r="J67"/>
  <c r="F13"/>
  <c r="F56" i="14"/>
  <c r="G18" i="11" s="1"/>
  <c r="G17"/>
  <c r="Q31" i="9"/>
  <c r="AD31"/>
  <c r="AA28"/>
  <c r="AA31"/>
  <c r="V32"/>
  <c r="L32"/>
  <c r="Q32"/>
  <c r="G32"/>
  <c r="F67" i="18"/>
  <c r="F52" i="14"/>
  <c r="AA32" i="9"/>
  <c r="D60" i="20"/>
  <c r="D83"/>
  <c r="D89"/>
  <c r="D17" i="14"/>
  <c r="D18" s="1"/>
  <c r="B190" i="22"/>
  <c r="B130"/>
  <c r="D71" i="20"/>
  <c r="D76"/>
  <c r="B156" i="21"/>
  <c r="E49" i="20"/>
  <c r="B219" i="21"/>
  <c r="B141"/>
  <c r="B25"/>
  <c r="F30" i="19"/>
  <c r="F42" i="14"/>
  <c r="B147" i="21"/>
  <c r="B203"/>
  <c r="B162"/>
  <c r="E14" i="14"/>
  <c r="E60" i="20"/>
  <c r="E71"/>
  <c r="E76"/>
  <c r="E79"/>
  <c r="E83"/>
  <c r="E89"/>
  <c r="E17" i="14"/>
  <c r="E18" s="1"/>
  <c r="G83" i="20"/>
  <c r="G71"/>
  <c r="G76"/>
  <c r="D77"/>
  <c r="D31" i="14"/>
  <c r="D18" i="19"/>
  <c r="H83" i="20"/>
  <c r="H89"/>
  <c r="H17" i="14"/>
  <c r="H18"/>
  <c r="H71" i="20"/>
  <c r="H76"/>
  <c r="D8" i="11"/>
  <c r="C18" i="14"/>
  <c r="F60" i="20"/>
  <c r="F71"/>
  <c r="F76"/>
  <c r="F18" i="19"/>
  <c r="F13" i="14"/>
  <c r="F80" i="20"/>
  <c r="F91"/>
  <c r="I98"/>
  <c r="F98"/>
  <c r="J77"/>
  <c r="J31" i="14"/>
  <c r="J18" i="19"/>
  <c r="I71" i="20"/>
  <c r="I76"/>
  <c r="I25" i="14"/>
  <c r="I30" s="1"/>
  <c r="I58" s="1"/>
  <c r="G25"/>
  <c r="G30" s="1"/>
  <c r="G58" s="1"/>
  <c r="H23"/>
  <c r="H25"/>
  <c r="H30" s="1"/>
  <c r="H58" s="1"/>
  <c r="G19" i="11"/>
  <c r="F62" i="14"/>
  <c r="F73"/>
  <c r="G15" i="11"/>
  <c r="E16" i="14"/>
  <c r="E25"/>
  <c r="E30" s="1"/>
  <c r="C11"/>
  <c r="F8" i="11"/>
  <c r="E77" i="20"/>
  <c r="E31" i="14"/>
  <c r="E18" i="19"/>
  <c r="C50" i="14"/>
  <c r="C54" s="1"/>
  <c r="C68" i="18"/>
  <c r="C71"/>
  <c r="H77" i="20"/>
  <c r="H31" i="14"/>
  <c r="H18" i="19"/>
  <c r="G18"/>
  <c r="G77" i="20"/>
  <c r="I77"/>
  <c r="I31" i="14"/>
  <c r="I18" i="19"/>
  <c r="G89" i="20"/>
  <c r="G17" i="14"/>
  <c r="G18" s="1"/>
  <c r="F83" i="20"/>
  <c r="F89"/>
  <c r="F17" i="14"/>
  <c r="F18" s="1"/>
  <c r="D7" i="11"/>
  <c r="G31" i="14"/>
  <c r="F77" i="20"/>
  <c r="F31" i="14"/>
  <c r="G37" i="18"/>
  <c r="D64" i="21"/>
  <c r="B20"/>
  <c r="E68" i="18" l="1"/>
  <c r="E71" s="1"/>
  <c r="E50" i="14"/>
  <c r="E54" s="1"/>
  <c r="L23" i="10"/>
  <c r="E92" i="14"/>
  <c r="D43" i="19"/>
  <c r="D46" i="14" s="1"/>
  <c r="D34"/>
  <c r="F9" i="11"/>
  <c r="F10"/>
  <c r="F11"/>
  <c r="E60" i="14"/>
  <c r="E59"/>
  <c r="E58"/>
  <c r="F16"/>
  <c r="F25" s="1"/>
  <c r="F30" s="1"/>
  <c r="G7" i="11"/>
  <c r="F7" i="18"/>
  <c r="H37"/>
  <c r="H68" s="1"/>
  <c r="H71" s="1"/>
  <c r="C60" i="14"/>
  <c r="D10" i="11"/>
  <c r="C58" i="14"/>
  <c r="D9" i="11"/>
  <c r="D11"/>
  <c r="C59" i="14"/>
  <c r="G8" i="11"/>
  <c r="E8"/>
  <c r="N19" i="10"/>
  <c r="F8" i="18"/>
  <c r="G68"/>
  <c r="G71" s="1"/>
  <c r="D11" i="14"/>
  <c r="E18" i="11"/>
  <c r="C43" i="19"/>
  <c r="C46" i="14" s="1"/>
  <c r="F43" i="19"/>
  <c r="F46" i="14" s="1"/>
  <c r="F60" l="1"/>
  <c r="G11" i="11"/>
  <c r="G9"/>
  <c r="G10"/>
  <c r="F59" i="14"/>
  <c r="F58"/>
  <c r="D16"/>
  <c r="D25" s="1"/>
  <c r="D30" s="1"/>
  <c r="E7" i="11"/>
  <c r="F37" i="18"/>
  <c r="D58" i="14" l="1"/>
  <c r="E11" i="11"/>
  <c r="F50" i="14"/>
  <c r="F54" s="1"/>
  <c r="F68" i="18"/>
  <c r="F71" s="1"/>
</calcChain>
</file>

<file path=xl/sharedStrings.xml><?xml version="1.0" encoding="utf-8"?>
<sst xmlns="http://schemas.openxmlformats.org/spreadsheetml/2006/main" count="1194" uniqueCount="577">
  <si>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</si>
  <si>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</si>
  <si>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</si>
  <si>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</si>
  <si>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</si>
  <si>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</si>
  <si>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</si>
  <si>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</si>
  <si>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 xml:space="preserve">Код рядка </t>
  </si>
  <si>
    <t>Усього доходів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</si>
  <si>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</si>
  <si>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</si>
  <si>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</si>
  <si>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</si>
  <si>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</si>
  <si>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</si>
  <si>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</si>
  <si>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</si>
  <si>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</si>
  <si>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</si>
  <si>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</si>
  <si>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</si>
  <si>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</si>
  <si>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</si>
  <si>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</si>
  <si>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</si>
  <si>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</si>
  <si>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</si>
  <si>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</si>
  <si>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</si>
  <si>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</si>
  <si>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</si>
  <si>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</si>
  <si>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</si>
  <si>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</si>
  <si>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</si>
  <si>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</si>
  <si>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</si>
  <si>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</si>
  <si>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</si>
  <si>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</si>
  <si>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</si>
  <si>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</si>
  <si>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</si>
  <si>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</si>
  <si>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</si>
  <si>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</si>
  <si>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</si>
  <si>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</si>
  <si>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</si>
  <si>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</si>
  <si>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</si>
  <si>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</si>
  <si>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</si>
  <si>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</si>
  <si>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</si>
  <si>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ІV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</si>
  <si>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</si>
  <si>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</si>
  <si>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</si>
  <si>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</si>
  <si>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 xml:space="preserve">ІІІ </t>
  </si>
  <si>
    <t xml:space="preserve">І </t>
  </si>
  <si>
    <t xml:space="preserve">ІІ </t>
  </si>
  <si>
    <t>__________________________________________________________________________________________________________________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</si>
  <si>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</si>
  <si>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</si>
  <si>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</si>
  <si>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</si>
  <si>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</si>
  <si>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</si>
  <si>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</si>
  <si>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</si>
  <si>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</si>
  <si>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</si>
  <si>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</si>
  <si>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кредити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</si>
  <si>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</si>
  <si>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</si>
  <si>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</si>
  <si>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</si>
  <si>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</si>
  <si>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І. Формування фінансових результатів</t>
  </si>
  <si>
    <t>Оптимальне значення</t>
  </si>
  <si>
    <t>Примітки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</si>
  <si>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</si>
  <si>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</si>
  <si>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</si>
  <si>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</si>
  <si>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</si>
  <si>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</si>
  <si>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</si>
  <si>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</si>
  <si>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</si>
  <si>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</si>
  <si>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</si>
  <si>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</si>
  <si>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</si>
  <si>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</si>
  <si>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</si>
  <si>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</si>
  <si>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Найменування  банку</t>
  </si>
  <si>
    <t>Інші джерела (розшифрувати)</t>
  </si>
  <si>
    <t>у тому числі за основними видами діяльності за КВЕД</t>
  </si>
  <si>
    <t>Плановий рік</t>
  </si>
  <si>
    <t>Код за ЄДРПОУ</t>
  </si>
  <si>
    <t>Витрати на збут</t>
  </si>
  <si>
    <t>Адміністративні витрати</t>
  </si>
  <si>
    <t>EBITDA</t>
  </si>
  <si>
    <t>Власний капітал</t>
  </si>
  <si>
    <t>Розподіл чистого прибутку</t>
  </si>
  <si>
    <t>ІІІ. Рух грошових коштів</t>
  </si>
  <si>
    <t>IІ. Розрахунки з бюджетом</t>
  </si>
  <si>
    <t>Чистий рух коштів від інвестиційної діяльності </t>
  </si>
  <si>
    <t>Чистий рух коштів від фінансової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</si>
  <si>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</si>
  <si>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</si>
  <si>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</si>
  <si>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</si>
  <si>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</si>
  <si>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</si>
  <si>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&gt; 1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</si>
  <si>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</si>
  <si>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</si>
  <si>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</si>
  <si>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</si>
  <si>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</si>
  <si>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</si>
  <si>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</si>
  <si>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</si>
  <si>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</si>
  <si>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Перенесено з додаткового капіталу</t>
  </si>
  <si>
    <t>Марка</t>
  </si>
  <si>
    <t>Рік придбання</t>
  </si>
  <si>
    <t>Витрати, усього</t>
  </si>
  <si>
    <t>Договір</t>
  </si>
  <si>
    <t>Дата початку оренди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</si>
  <si>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</si>
  <si>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</si>
  <si>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</si>
  <si>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</si>
  <si>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</si>
  <si>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</si>
  <si>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</si>
  <si>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</si>
  <si>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</si>
  <si>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</si>
  <si>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</si>
  <si>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</si>
  <si>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</si>
  <si>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</si>
  <si>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</si>
  <si>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</si>
  <si>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</si>
  <si>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</si>
  <si>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</si>
  <si>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Коефіцієнт фінансової стійкості</t>
  </si>
  <si>
    <t>Пояснення та обґрунтування до запланованого рівня доходів/витрат</t>
  </si>
  <si>
    <t>Елементи операційних витрат</t>
  </si>
  <si>
    <t xml:space="preserve">      3. Інформація про бізнес підприємства (код рядка 1000 фінансового плану)</t>
  </si>
  <si>
    <t>Найменування об’єкта</t>
  </si>
  <si>
    <t>9. Капітальне будівництво (рядок 4010 таблиці 4)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</si>
  <si>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</si>
  <si>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</si>
  <si>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</si>
  <si>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</si>
  <si>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</si>
  <si>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</si>
  <si>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</si>
  <si>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</si>
  <si>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</si>
  <si>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Усього зобов'язання і забезпечення</t>
  </si>
  <si>
    <t>Усього активи</t>
  </si>
  <si>
    <t>Доходи і витрати (деталізація)</t>
  </si>
  <si>
    <t>I. Формування фінансових результатів</t>
  </si>
  <si>
    <t>Ковенанти/обмежувальні коефіцієнти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</si>
  <si>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</si>
  <si>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</si>
  <si>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</si>
  <si>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</si>
  <si>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</si>
  <si>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</si>
  <si>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</si>
  <si>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</si>
  <si>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</si>
  <si>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</si>
  <si>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Матеріальні витрати, у тому числі: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</si>
  <si>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</si>
  <si>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</si>
  <si>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</si>
  <si>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</si>
  <si>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</si>
  <si>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</si>
  <si>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</si>
  <si>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</si>
  <si>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</si>
  <si>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</si>
  <si>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</si>
  <si>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</si>
  <si>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</si>
  <si>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</si>
  <si>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</si>
  <si>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</si>
  <si>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</si>
  <si>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 xml:space="preserve">      Загальна інформація про підприємство (резюме)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</si>
  <si>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</si>
  <si>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</si>
  <si>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</si>
  <si>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План з повернення коштів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</si>
  <si>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</si>
  <si>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</si>
  <si>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</si>
  <si>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(    )</t>
  </si>
  <si>
    <t>Інші операційні доходи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</si>
  <si>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</si>
  <si>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</si>
  <si>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</si>
  <si>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</si>
  <si>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доходи, усього, у тому числі:</t>
  </si>
  <si>
    <t>Інші доходи</t>
  </si>
  <si>
    <t>Інші витрати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</si>
  <si>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</si>
  <si>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</si>
  <si>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</si>
  <si>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</si>
  <si>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</si>
  <si>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</si>
  <si>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Чистий рух коштів від фінансової діяльності</t>
  </si>
  <si>
    <t>Залишок коштів на кінець періоду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</si>
  <si>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</si>
  <si>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</si>
  <si>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</si>
  <si>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</si>
  <si>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</si>
  <si>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</si>
  <si>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</si>
  <si>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</si>
  <si>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VІI. Кредитна політика</t>
  </si>
  <si>
    <t>7000</t>
  </si>
  <si>
    <t>7001</t>
  </si>
  <si>
    <t>7002</t>
  </si>
  <si>
    <t>7003</t>
  </si>
  <si>
    <t>7010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</si>
  <si>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</si>
  <si>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</si>
  <si>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</si>
  <si>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</si>
  <si>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</si>
  <si>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</si>
  <si>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</si>
  <si>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</si>
  <si>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</si>
  <si>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</si>
  <si>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</si>
  <si>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</si>
  <si>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</si>
  <si>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</si>
  <si>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</si>
  <si>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</si>
  <si>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інші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</si>
  <si>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</si>
  <si>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</si>
  <si>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</si>
  <si>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</si>
  <si>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</si>
  <si>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</si>
  <si>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 xml:space="preserve">Надходження грошових коштів від операційної діяльності 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</si>
  <si>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</si>
  <si>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</si>
  <si>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</si>
  <si>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</si>
  <si>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</si>
  <si>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</si>
  <si>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</si>
  <si>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прибуток підприємств</t>
  </si>
  <si>
    <t>податок на додану вартість</t>
  </si>
  <si>
    <t>рентна плата</t>
  </si>
  <si>
    <t>інші обов’язкові платежі, у тому числі:</t>
  </si>
  <si>
    <t>відрахування частини чистого прибутку державними підприємствами</t>
  </si>
  <si>
    <t>3146/1</t>
  </si>
  <si>
    <t xml:space="preserve">відрахування частини чистого прибутку до фонду на виплату дивідендів на державну частку господарськими товариствами </t>
  </si>
  <si>
    <t>3146/2</t>
  </si>
  <si>
    <t>Повернення коштів до бюджету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</si>
  <si>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</si>
  <si>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</si>
  <si>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</si>
  <si>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</si>
  <si>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 xml:space="preserve">Надходження грошових коштів від фінансової діяльності </t>
  </si>
  <si>
    <t>Надходження від власного капіталу</t>
  </si>
  <si>
    <t>Отримання коштів за довгостроковими зобов'язаннями, у тому числі:</t>
  </si>
  <si>
    <t xml:space="preserve">Видатки грошових коштів від фінансової діяльності </t>
  </si>
  <si>
    <t>Витрачання на викуп власних акцій</t>
  </si>
  <si>
    <t>Повернення коштів за довгостроковими зобов'язаннями, у тому числі:</t>
  </si>
  <si>
    <t xml:space="preserve">Сплата дивідендів </t>
  </si>
  <si>
    <t>капітальний ремонт</t>
  </si>
  <si>
    <t>Зменшення</t>
  </si>
  <si>
    <t xml:space="preserve">      1. Дані про підприємство, персонал та витрати на оплату праці</t>
  </si>
  <si>
    <t>Найменування видів діяльності за КВЕД</t>
  </si>
  <si>
    <t>6. Витрати, пов'язані з використанням власних службових автомобілів (у складі адміністративних витрат, рядок 1031)</t>
  </si>
  <si>
    <t>7. Витрати на оренду службових автомобілів (у складі адміністративних витрат, рядок 1032)</t>
  </si>
  <si>
    <t>плюс амортизація, рядок 1430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</si>
  <si>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</si>
  <si>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</si>
  <si>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</si>
  <si>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</si>
  <si>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</si>
  <si>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відповідні обґрунтування. </t>
  </si>
  <si>
    <t>Плановий рік до плану
поточного року, %</t>
  </si>
  <si>
    <t>Плановий рік до факту
минулого року, %</t>
  </si>
  <si>
    <t>Документ, яким затверджений титул будови,
із зазначенням органу, який його погодив</t>
  </si>
  <si>
    <t>ІІІ. Рух грошових коштів (за прямим методом)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</si>
  <si>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</si>
  <si>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</si>
  <si>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</si>
  <si>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</si>
  <si>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Сплата податків та зборів до місцевих бюджетів (податкові платежі)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</si>
  <si>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</si>
  <si>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</si>
  <si>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</si>
  <si>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</si>
  <si>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</si>
  <si>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</si>
  <si>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</si>
  <si>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</si>
  <si>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</si>
  <si>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</si>
  <si>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</si>
  <si>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</si>
  <si>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</si>
  <si>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</si>
  <si>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Коефіцієнт відношення боргу до EBITDA
(довгострокові зобов'язання, рядок 6030 + поточні зобов'язання, рядок 6040) / EBITDA, рядок 1310</t>
  </si>
  <si>
    <t>Плановий рік до прогнозу на поточний рік, %</t>
  </si>
  <si>
    <t>Чистий фінансовий результат</t>
  </si>
  <si>
    <t>Чистий фінансовий результат, у тому числі:</t>
  </si>
  <si>
    <t xml:space="preserve">Прибуток </t>
  </si>
  <si>
    <t>Збиток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</si>
  <si>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</si>
  <si>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</si>
  <si>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</si>
  <si>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відрахування частини чистого прибутку господарськими товариствами, у статутному капіталі яких більше 50 відсотків акцій (часток, паїв) належать державі, на виплату дивідендів на державну частку</t>
  </si>
  <si>
    <t>основні засоби</t>
  </si>
  <si>
    <t>гроші та їх еквіваленти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</si>
  <si>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</si>
  <si>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</si>
  <si>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</si>
  <si>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</si>
  <si>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</si>
  <si>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>Середньомісячні витрати на оплату праці одного працівника (грн), усього, у тому числі: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</si>
  <si>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</si>
  <si>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</si>
  <si>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</si>
  <si>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</si>
  <si>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</si>
  <si>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</si>
  <si>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господарськими товариствами, у статутному капіталі яких більше 50 відсотків акцій (часток, паїв) належать державі, на виплату дивідендів</t>
  </si>
  <si>
    <t>Виручка від реалізації продукції (товарів, робіт, послуг)</t>
  </si>
  <si>
    <t>Цільове фінансування  (розшифрувати)</t>
  </si>
  <si>
    <r>
      <t>Інші надходження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</si>
  <si>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основних засобів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</si>
  <si>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Капітальне будівництво (розшифрувати)</t>
    </r>
    <r>
      <rPr>
        <i/>
        <sz val="14"/>
        <rFont val="Times New Roman"/>
        <family val="1"/>
        <charset val="204"/>
      </rPr>
      <t xml:space="preserve"> </t>
    </r>
  </si>
  <si>
    <r>
      <t>Придбання (створення) нематеріальних активів (розшифрувати)</t>
    </r>
    <r>
      <rPr>
        <i/>
        <sz val="14"/>
        <rFont val="Times New Roman"/>
        <family val="1"/>
        <charset val="204"/>
      </rPr>
      <t xml:space="preserve"> </t>
    </r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</si>
  <si>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</si>
  <si>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поточної ліквідності (покриття)
(оборотні активи, рядок 6010 / поточні зобов'язання, рядок 6040)</t>
  </si>
  <si>
    <t>Коефіцієнт відношення капітальних інвестицій до амортизації
(капітальні інвестиції, рядок 4000 / амортизація, рядок 1430)</t>
  </si>
  <si>
    <t>Коефіцієнт відношення капітальних інвестицій до чистого доходу від реалізації продукції (товарів, робіт, послуг)
(капітальні інвестиції, рядок 4000 / чистий дохід від реалізації продукції (товарів, робіт, послуг), рядок 1000)</t>
  </si>
  <si>
    <t>Коефіцієнт зносу основних засобів 
(сума зносу, рядок 6003 / первісна вартість основних засобів, рядок 6002)</t>
  </si>
  <si>
    <t>Фонд оплати праці, тис. грн, у тому числі:</t>
  </si>
  <si>
    <t>Витрати на оплату праці, тис. грн, у тому числі: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</si>
  <si>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</si>
  <si>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</si>
  <si>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тис. грн (без ПДВ)</t>
  </si>
  <si>
    <t>Валова рентабельність
(валовий прибуток, рядок 1020 / чистий дохід від реалізації продукції (товарів, робіт, послуг), рядок 1000) х 100, %</t>
  </si>
  <si>
    <t>Рентабельність EBITDA
(EBITDA, рядок 1310 / чистий дохід від реалізації продукції (товарів, робіт, послуг), рядок 1000) х 100, %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</si>
  <si>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</si>
  <si>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</si>
  <si>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</si>
  <si>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{Додаток 1 в редакції Наказу Міністерства економічного розвитку і торгівлі № 1394 від 03.11.2015}</t>
  </si>
  <si>
    <t>ФІНАНСОВИЙ ПЛАН ПІДПРИЄМСТВА НА  2020 рік.</t>
  </si>
  <si>
    <t>Факт 2018р.</t>
  </si>
  <si>
    <t xml:space="preserve">              Сплата податків, зборів та інших обов'язкових платежів </t>
  </si>
  <si>
    <t>Фінансовий план  2019р.</t>
  </si>
  <si>
    <t>Прогноз на 2019р.</t>
  </si>
  <si>
    <t>Факт  2018р.</t>
  </si>
  <si>
    <t>План 2019р.</t>
  </si>
  <si>
    <t xml:space="preserve">План 2020 рік </t>
  </si>
  <si>
    <t xml:space="preserve">             II. Рух коштів у результаті інвестиційної діяльності</t>
  </si>
  <si>
    <t xml:space="preserve">             І. Рух коштів у результаті операційної діяльності</t>
  </si>
  <si>
    <t xml:space="preserve">             III. Рух коштів у результаті фінансової діяльності</t>
  </si>
  <si>
    <t>План 2020 р.</t>
  </si>
  <si>
    <t>Фінансовий план 2019р.</t>
  </si>
  <si>
    <t>до фінансового плану на   2020рік</t>
  </si>
  <si>
    <t>Кузнецовське МКП</t>
  </si>
  <si>
    <t>Факт 2019р.</t>
  </si>
  <si>
    <t>План 2020р.</t>
  </si>
  <si>
    <t>План  2020 р.</t>
  </si>
  <si>
    <t>План  2019р</t>
  </si>
  <si>
    <t>Прогноз на 2019 р.</t>
  </si>
  <si>
    <t>Прогноз на  2019 р.</t>
  </si>
  <si>
    <t xml:space="preserve"> План   2019р.</t>
  </si>
  <si>
    <t>Знос МШП</t>
  </si>
  <si>
    <t>Електроенергія</t>
  </si>
  <si>
    <t>Послуги банку</t>
  </si>
  <si>
    <t>Охорона об"єктів</t>
  </si>
  <si>
    <t>Періодичні видання</t>
  </si>
  <si>
    <t>Матеріали (марки)</t>
  </si>
  <si>
    <t>Програма "Експерт-кошторис"</t>
  </si>
  <si>
    <t>Судовий збір</t>
  </si>
  <si>
    <t>Відправлення цінних листів</t>
  </si>
  <si>
    <t>Послуга доступу до мережі інтернет</t>
  </si>
  <si>
    <t>Проведення держреєстрації</t>
  </si>
  <si>
    <t>Перезарядка вогнегасників</t>
  </si>
  <si>
    <t>Супровід програмного забезпечення</t>
  </si>
  <si>
    <t>Витрати на комунальні послуги</t>
  </si>
  <si>
    <t>Оплата послуг банку</t>
  </si>
  <si>
    <t>матеріали</t>
  </si>
  <si>
    <t>передача інформації</t>
  </si>
  <si>
    <t>Інша діяльність</t>
  </si>
  <si>
    <t>Послуги оренди</t>
  </si>
  <si>
    <t>Електроенергія орендарів</t>
  </si>
  <si>
    <t>Дохід від металобрухту</t>
  </si>
  <si>
    <t>Сторожа</t>
  </si>
  <si>
    <t>Амортизація інших обєктів</t>
  </si>
  <si>
    <t>Земельний податок</t>
  </si>
  <si>
    <t>Лікарняні за рахунок підприємства</t>
  </si>
  <si>
    <t>Профспілкові витрати (0,3%)</t>
  </si>
  <si>
    <t>Штрафні санкції ( ПДВ)</t>
  </si>
  <si>
    <t>Штрафні санкції (водопост., теплопост.)</t>
  </si>
  <si>
    <t xml:space="preserve">                                          Розшифровка</t>
  </si>
  <si>
    <t>_знос  МШП</t>
  </si>
  <si>
    <t>_перезарядка вогнегасників</t>
  </si>
  <si>
    <t>_медогляд</t>
  </si>
  <si>
    <t>_екологічний податок</t>
  </si>
  <si>
    <t>_земельний податок</t>
  </si>
  <si>
    <t>_інша діяльність</t>
  </si>
  <si>
    <t>_відрядні</t>
  </si>
  <si>
    <t>_послуги зв"язку</t>
  </si>
  <si>
    <t>_витрати на комунальні послуги</t>
  </si>
  <si>
    <t>_ правила приймання стічних вод</t>
  </si>
  <si>
    <t>_оголошення в газеті</t>
  </si>
  <si>
    <t>_повірка засобів вимір.техніки</t>
  </si>
  <si>
    <t>_охорона обєктів</t>
  </si>
  <si>
    <t>_послуги по пожежному спостереж.</t>
  </si>
  <si>
    <t>_навчання та перевірка знань</t>
  </si>
  <si>
    <t>_плата за користування надрами</t>
  </si>
  <si>
    <t>_плата за спеціальне використання води</t>
  </si>
  <si>
    <t>_обовязкове старахування водіїв</t>
  </si>
  <si>
    <t>_ лабораторні дослідження води</t>
  </si>
  <si>
    <t>_послуги по гідрометрології</t>
  </si>
  <si>
    <t>_витрати на оплату послуг банку</t>
  </si>
  <si>
    <t>_передача інформації</t>
  </si>
  <si>
    <t>_розприділення  водопост., водовідв.,  теплопост.</t>
  </si>
  <si>
    <t>_атестація робочих місць</t>
  </si>
  <si>
    <t>_випробування вогнегасників , гідрантів</t>
  </si>
  <si>
    <t>_водопостачання  ВП РАЕС</t>
  </si>
  <si>
    <t>_виробництво теплової енергії ВП РАЕС</t>
  </si>
  <si>
    <t xml:space="preserve">  встановлення лічильників тепла</t>
  </si>
  <si>
    <t xml:space="preserve">  встановлення лічильників  води</t>
  </si>
  <si>
    <t>іншихї витрат в частині собівартості на 2020р.(ряд.1018)</t>
  </si>
  <si>
    <t>послуги зв"язку</t>
  </si>
  <si>
    <t xml:space="preserve">  реструктуризація боргу водопостачання </t>
  </si>
  <si>
    <t xml:space="preserve">  реструктуризація боргу теплопостачання</t>
  </si>
  <si>
    <t>Цільові кошти  : в.т.ч.</t>
  </si>
  <si>
    <t>Семенюк І.С.</t>
  </si>
  <si>
    <t>Вик.Концевич Н.І.</t>
  </si>
  <si>
    <t>Постачання пари,гарячої води та кондиційованого повітря.</t>
  </si>
  <si>
    <t>Фактичний показник за  2018р. минулий рік</t>
  </si>
  <si>
    <t>Плановий показник  2019 р.</t>
  </si>
  <si>
    <t>Плановий  2020 р.</t>
  </si>
  <si>
    <t>Фактичний показник поточного року за 1 кварт.2019р</t>
  </si>
  <si>
    <t>-</t>
  </si>
  <si>
    <t>Заборгованість за кредитами на початок   2019р.року</t>
  </si>
  <si>
    <t>Заборгованість за кредитами на кінець 2019р. року</t>
  </si>
  <si>
    <t>ВАЗ-217030</t>
  </si>
  <si>
    <t>2013р.</t>
  </si>
  <si>
    <t>службові поїздки</t>
  </si>
  <si>
    <t xml:space="preserve">2020 рік </t>
  </si>
  <si>
    <t>2020рік</t>
  </si>
  <si>
    <t xml:space="preserve">                                                                   Директор КМКП</t>
  </si>
  <si>
    <t xml:space="preserve">                                                      Директор КМКП</t>
  </si>
  <si>
    <t xml:space="preserve">                                                                             Директор КМКП</t>
  </si>
  <si>
    <t xml:space="preserve">                                                              Директор КМКП</t>
  </si>
  <si>
    <t>Начальник ПЕВ</t>
  </si>
  <si>
    <t>Дембовська О.В.</t>
  </si>
  <si>
    <t>інших  витрат в частині собівартості прогноз на 2019р.(ряд.1018)</t>
  </si>
  <si>
    <t>Вик. Концевич Н.І.</t>
  </si>
  <si>
    <t xml:space="preserve">                                   Розшифровка</t>
  </si>
  <si>
    <t>Послуги  автотранспорту</t>
  </si>
  <si>
    <t>Оголошення</t>
  </si>
  <si>
    <t>Послуга пожежного спостереження</t>
  </si>
  <si>
    <t>Проведення наради</t>
  </si>
  <si>
    <t>Атестація робочого місця</t>
  </si>
  <si>
    <t>Підписка 1С</t>
  </si>
  <si>
    <t>Медогляд</t>
  </si>
  <si>
    <t>Випробування пожежних гідрантів</t>
  </si>
  <si>
    <t>Доставка документів</t>
  </si>
  <si>
    <t>Доступ до сервера</t>
  </si>
  <si>
    <t>Підключення лічильника після відключення</t>
  </si>
  <si>
    <t xml:space="preserve">             Інших  адміністративних  витрат  за 2018р. (ряд.1051)</t>
  </si>
  <si>
    <t xml:space="preserve">      Інших  адміністративних  витрат  прогноз   на   2019р. (ряд.1051)</t>
  </si>
  <si>
    <t xml:space="preserve">      Інших  адміністративних  витрат  план   на   2020р.(ряд.1051)</t>
  </si>
  <si>
    <t xml:space="preserve">              Розшифровка витрат на збут за 2018р. (ряд.1067)</t>
  </si>
  <si>
    <t xml:space="preserve">              Розшифровка витрат на збут план на 2020р. (ряд.1067)</t>
  </si>
  <si>
    <t>медогляд</t>
  </si>
  <si>
    <t xml:space="preserve">         Витрати  на збут</t>
  </si>
  <si>
    <t>електроенергія</t>
  </si>
  <si>
    <t xml:space="preserve">              Розшифровка витрат на збут прогноз  2019р. (ряд.1067)</t>
  </si>
  <si>
    <t>Разом (т.грн.)</t>
  </si>
  <si>
    <t>Разом (т.грн)</t>
  </si>
  <si>
    <t>Разом: (т.грн.)</t>
  </si>
  <si>
    <t xml:space="preserve">                                                       Розшифровка </t>
  </si>
  <si>
    <t xml:space="preserve">               інших операційних доходів  за 2018р. (ряд. 1073)</t>
  </si>
  <si>
    <t xml:space="preserve">  погашення заборгованості по теплу</t>
  </si>
  <si>
    <t xml:space="preserve">  матеріали , запчастини</t>
  </si>
  <si>
    <t xml:space="preserve">  земельний податок</t>
  </si>
  <si>
    <t xml:space="preserve">  встановлення лічильників  </t>
  </si>
  <si>
    <t xml:space="preserve">  відшкодування різниці в тарифах</t>
  </si>
  <si>
    <t>Продаж автотранспорту</t>
  </si>
  <si>
    <t>Дохід від реалізації</t>
  </si>
  <si>
    <t>Перевищення хлорування (ГДК)</t>
  </si>
  <si>
    <t xml:space="preserve">                                               Розшифровка </t>
  </si>
  <si>
    <t xml:space="preserve">    інших операційних доходів  прогноз  на  2019р. (ряд. 1073)</t>
  </si>
  <si>
    <t xml:space="preserve">               інших операційних доходів план  на 2020р. (ряд. 1073)</t>
  </si>
  <si>
    <t>Разом: (т.грн)</t>
  </si>
  <si>
    <t>Разом : (т.грн.)</t>
  </si>
  <si>
    <t>Разом :(т.грн.)</t>
  </si>
  <si>
    <t xml:space="preserve">               інших операційних  витрат  за 2018р. (ряд. 1086)</t>
  </si>
  <si>
    <t xml:space="preserve">  встановлення лічильників  гарячого водопост.</t>
  </si>
  <si>
    <t>Виконавчий збір</t>
  </si>
  <si>
    <t>Експертна оцінка мащин</t>
  </si>
  <si>
    <t>Списана залишкова вартість ДТ-75</t>
  </si>
  <si>
    <t>Податковий кредит</t>
  </si>
  <si>
    <t>Вислуга років звільнених</t>
  </si>
  <si>
    <t>Індексація житлового фонду</t>
  </si>
  <si>
    <t>Автотранспортна  служба</t>
  </si>
  <si>
    <t xml:space="preserve">               інших операційних   витрат план  на 2020р. (ряд. 1086)</t>
  </si>
  <si>
    <t xml:space="preserve">    інших операційних витрат  прогноз  на  2019р. (ряд. 1086)</t>
  </si>
  <si>
    <t xml:space="preserve">Екологічний податок </t>
  </si>
  <si>
    <t>Рентна плата</t>
  </si>
  <si>
    <t xml:space="preserve">            I I.  Розрахунки з бюджетом  (ряд.2124)</t>
  </si>
  <si>
    <t>Цільове фінансування  (рядок 3030)</t>
  </si>
  <si>
    <t>Інші надходження (ряд.3060)</t>
  </si>
  <si>
    <t>Інші платежі (ряд.3150)</t>
  </si>
  <si>
    <t xml:space="preserve">                            Фактично за 2018р.</t>
  </si>
  <si>
    <t>Прогноз  2019р</t>
  </si>
  <si>
    <t xml:space="preserve">                                 Розшифровка</t>
  </si>
  <si>
    <t>Пільги ЧАЕС</t>
  </si>
  <si>
    <t>Фонд   соціального  страхування</t>
  </si>
  <si>
    <t>Субсидії (комунальні послуги для населення)</t>
  </si>
  <si>
    <t>Пільги (комунальні послуги для населення)</t>
  </si>
  <si>
    <t>Кошти  бюджету (резервний фонд)</t>
  </si>
  <si>
    <t>2018р.</t>
  </si>
  <si>
    <t>план 2019р.</t>
  </si>
  <si>
    <t>план 2020р.</t>
  </si>
  <si>
    <t>прогноз 2019р.</t>
  </si>
  <si>
    <t xml:space="preserve">Відшкодування різниці в тарифах </t>
  </si>
  <si>
    <t>Повернення судового збору</t>
  </si>
  <si>
    <t>Повернення заробітної плати</t>
  </si>
  <si>
    <t>Надходження від операційної оренди</t>
  </si>
  <si>
    <t>Надходження від боржників</t>
  </si>
  <si>
    <t>Податок з доходів фізичних осіб</t>
  </si>
  <si>
    <t>Податок на додану вартість</t>
  </si>
  <si>
    <t>Екологічний податок</t>
  </si>
  <si>
    <t>плата за землю</t>
  </si>
  <si>
    <t>Рентна плата (вода)</t>
  </si>
  <si>
    <t>Рентна плата (користування надрами)</t>
  </si>
  <si>
    <t>Військовий збір</t>
  </si>
  <si>
    <t>Надлишкова площа</t>
  </si>
  <si>
    <t>Оплата зобов"язань з  інших податків і зборів</t>
  </si>
  <si>
    <t>Інші витрати (ряд.3170)</t>
  </si>
  <si>
    <t>Винагорода  за комунальні послуги</t>
  </si>
  <si>
    <t>Інші</t>
  </si>
  <si>
    <t>Відрядні</t>
  </si>
  <si>
    <t>Профспілкові внески, аліменти</t>
  </si>
  <si>
    <t>Штрафи</t>
  </si>
  <si>
    <t xml:space="preserve">                                                   Розшифровка</t>
  </si>
  <si>
    <t xml:space="preserve">                                       III. Рух грошових коштів</t>
  </si>
  <si>
    <t>Найменування</t>
  </si>
</sst>
</file>

<file path=xl/styles.xml><?xml version="1.0" encoding="utf-8"?>
<styleSheet xmlns="http://schemas.openxmlformats.org/spreadsheetml/2006/main">
  <numFmts count="16">
    <numFmt numFmtId="43" formatCode="_-* #,##0.00_₴_-;\-* #,##0.00_₴_-;_-* &quot;-&quot;??_₴_-;_-@_-"/>
    <numFmt numFmtId="179" formatCode="_-* #,##0.00\ _г_р_н_._-;\-* #,##0.00\ _г_р_н_._-;_-* &quot;-&quot;??\ _г_р_н_._-;_-@_-"/>
    <numFmt numFmtId="181" formatCode="#,##0&quot;р.&quot;;[Red]\-#,##0&quot;р.&quot;"/>
    <numFmt numFmtId="182" formatCode="#,##0.00&quot;р.&quot;;\-#,##0.00&quot;р.&quot;"/>
    <numFmt numFmtId="187" formatCode="_-* #,##0.00_р_._-;\-* #,##0.00_р_._-;_-* &quot;-&quot;??_р_._-;_-@_-"/>
    <numFmt numFmtId="188" formatCode="0.0"/>
    <numFmt numFmtId="189" formatCode="#,##0.0"/>
    <numFmt numFmtId="194" formatCode="###\ ##0.000"/>
    <numFmt numFmtId="195" formatCode="_(&quot;$&quot;* #,##0.00_);_(&quot;$&quot;* \(#,##0.00\);_(&quot;$&quot;* &quot;-&quot;??_);_(@_)"/>
    <numFmt numFmtId="196" formatCode="_(* #,##0_);_(* \(#,##0\);_(* &quot;-&quot;_);_(@_)"/>
    <numFmt numFmtId="197" formatCode="_(* #,##0.00_);_(* \(#,##0.00\);_(* &quot;-&quot;??_);_(@_)"/>
    <numFmt numFmtId="198" formatCode="#,##0.0_ ;[Red]\-#,##0.0\ "/>
    <numFmt numFmtId="199" formatCode="0.0;\(0.0\);\ ;\-"/>
    <numFmt numFmtId="202" formatCode="_(* #,##0.0_);_(* \(#,##0.0\);_(* &quot;-&quot;??_);_(@_)"/>
    <numFmt numFmtId="203" formatCode="_(* #,##0_);_(* \(#,##0\);_(* &quot;-&quot;??_);_(@_)"/>
    <numFmt numFmtId="204" formatCode="_(* #,##0.0_);_(* \(#,##0.0\);_(* &quot;-&quot;_);_(@_)"/>
  </numFmts>
  <fonts count="8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2"/>
      <name val="Arial Cyr"/>
      <charset val="204"/>
    </font>
    <font>
      <b/>
      <sz val="12"/>
      <name val="Arial Cyr"/>
      <charset val="204"/>
    </font>
    <font>
      <sz val="13"/>
      <name val="Arial Cyr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sz val="13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53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79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94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95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83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6" fontId="66" fillId="0" borderId="0" applyFont="0" applyFill="0" applyBorder="0" applyAlignment="0" applyProtection="0"/>
    <xf numFmtId="197" fontId="6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99" fontId="68" fillId="22" borderId="12" applyFill="0" applyBorder="0">
      <alignment horizontal="center" vertical="center" wrapText="1"/>
      <protection locked="0"/>
    </xf>
    <xf numFmtId="194" fontId="69" fillId="0" borderId="0">
      <alignment wrapText="1"/>
    </xf>
    <xf numFmtId="194" fontId="36" fillId="0" borderId="0">
      <alignment wrapText="1"/>
    </xf>
  </cellStyleXfs>
  <cellXfs count="342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88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right" vertical="center" wrapText="1"/>
    </xf>
    <xf numFmtId="189" fontId="5" fillId="0" borderId="0" xfId="0" applyNumberFormat="1" applyFont="1" applyFill="1" applyAlignment="1">
      <alignment vertical="center"/>
    </xf>
    <xf numFmtId="0" fontId="12" fillId="0" borderId="0" xfId="0" applyFont="1" applyFill="1"/>
    <xf numFmtId="189" fontId="5" fillId="0" borderId="0" xfId="0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188" fontId="4" fillId="0" borderId="0" xfId="0" applyNumberFormat="1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" xfId="237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Border="1" applyAlignment="1" applyProtection="1">
      <alignment horizontal="left" vertical="center"/>
      <protection locked="0"/>
    </xf>
    <xf numFmtId="189" fontId="4" fillId="0" borderId="0" xfId="0" applyNumberFormat="1" applyFont="1" applyFill="1" applyBorder="1" applyAlignment="1">
      <alignment horizontal="right" vertical="center" wrapText="1"/>
    </xf>
    <xf numFmtId="0" fontId="4" fillId="0" borderId="0" xfId="0" quotePrefix="1" applyFont="1" applyFill="1" applyBorder="1" applyAlignment="1">
      <alignment horizontal="center"/>
    </xf>
    <xf numFmtId="189" fontId="5" fillId="0" borderId="0" xfId="245" applyNumberFormat="1" applyFont="1" applyFill="1" applyBorder="1" applyAlignment="1">
      <alignment horizontal="center" vertical="center" wrapText="1"/>
    </xf>
    <xf numFmtId="189" fontId="5" fillId="0" borderId="0" xfId="245" applyNumberFormat="1" applyFont="1" applyFill="1" applyBorder="1" applyAlignment="1">
      <alignment horizontal="right" vertical="center" wrapText="1"/>
    </xf>
    <xf numFmtId="0" fontId="5" fillId="0" borderId="0" xfId="245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182" applyFont="1" applyFill="1" applyBorder="1" applyAlignment="1">
      <alignment vertical="center" wrapText="1"/>
      <protection locked="0"/>
    </xf>
    <xf numFmtId="0" fontId="4" fillId="0" borderId="3" xfId="182" applyFont="1" applyFill="1" applyBorder="1" applyAlignment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5" fillId="0" borderId="3" xfId="237" applyNumberFormat="1" applyFont="1" applyFill="1" applyBorder="1" applyAlignment="1">
      <alignment horizontal="left" vertical="center" wrapText="1"/>
    </xf>
    <xf numFmtId="189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196" fontId="5" fillId="0" borderId="3" xfId="0" applyNumberFormat="1" applyFont="1" applyFill="1" applyBorder="1" applyAlignment="1">
      <alignment horizontal="center" vertical="center" wrapText="1"/>
    </xf>
    <xf numFmtId="203" fontId="5" fillId="0" borderId="3" xfId="0" applyNumberFormat="1" applyFont="1" applyFill="1" applyBorder="1" applyAlignment="1">
      <alignment horizontal="center" vertical="center" wrapText="1"/>
    </xf>
    <xf numFmtId="203" fontId="4" fillId="0" borderId="3" xfId="0" applyNumberFormat="1" applyFont="1" applyFill="1" applyBorder="1" applyAlignment="1">
      <alignment horizontal="center" vertical="center" wrapText="1"/>
    </xf>
    <xf numFmtId="202" fontId="5" fillId="0" borderId="3" xfId="0" applyNumberFormat="1" applyFont="1" applyFill="1" applyBorder="1" applyAlignment="1">
      <alignment horizontal="center" vertical="center" wrapText="1"/>
    </xf>
    <xf numFmtId="202" fontId="4" fillId="0" borderId="3" xfId="0" applyNumberFormat="1" applyFont="1" applyFill="1" applyBorder="1" applyAlignment="1">
      <alignment horizontal="center" vertical="center" wrapText="1"/>
    </xf>
    <xf numFmtId="196" fontId="5" fillId="29" borderId="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quotePrefix="1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4" fillId="0" borderId="3" xfId="0" quotePrefix="1" applyFont="1" applyFill="1" applyBorder="1" applyAlignment="1">
      <alignment horizontal="center"/>
    </xf>
    <xf numFmtId="0" fontId="4" fillId="0" borderId="3" xfId="245" applyFont="1" applyFill="1" applyBorder="1" applyAlignment="1">
      <alignment horizontal="center" vertical="center"/>
    </xf>
    <xf numFmtId="0" fontId="4" fillId="0" borderId="14" xfId="245" applyFont="1" applyFill="1" applyBorder="1" applyAlignment="1">
      <alignment horizontal="left" vertical="center" wrapText="1"/>
    </xf>
    <xf numFmtId="0" fontId="4" fillId="0" borderId="17" xfId="245" applyFont="1" applyFill="1" applyBorder="1" applyAlignment="1">
      <alignment horizontal="left" vertical="center" wrapText="1"/>
    </xf>
    <xf numFmtId="0" fontId="4" fillId="0" borderId="18" xfId="245" applyFont="1" applyFill="1" applyBorder="1" applyAlignment="1">
      <alignment horizontal="left" vertical="center" wrapText="1"/>
    </xf>
    <xf numFmtId="0" fontId="4" fillId="0" borderId="15" xfId="0" quotePrefix="1" applyFont="1" applyFill="1" applyBorder="1" applyAlignment="1">
      <alignment horizontal="center" vertical="center"/>
    </xf>
    <xf numFmtId="0" fontId="4" fillId="0" borderId="16" xfId="0" quotePrefix="1" applyFont="1" applyFill="1" applyBorder="1" applyAlignment="1">
      <alignment horizontal="center" vertical="center"/>
    </xf>
    <xf numFmtId="189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96" fontId="4" fillId="0" borderId="3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245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96" fontId="4" fillId="27" borderId="3" xfId="0" applyNumberFormat="1" applyFont="1" applyFill="1" applyBorder="1" applyAlignment="1">
      <alignment horizontal="center" vertical="center" wrapText="1"/>
    </xf>
    <xf numFmtId="196" fontId="5" fillId="27" borderId="3" xfId="0" applyNumberFormat="1" applyFont="1" applyFill="1" applyBorder="1" applyAlignment="1">
      <alignment horizontal="center" vertical="center" wrapText="1"/>
    </xf>
    <xf numFmtId="196" fontId="4" fillId="30" borderId="3" xfId="0" applyNumberFormat="1" applyFont="1" applyFill="1" applyBorder="1" applyAlignment="1">
      <alignment horizontal="center" vertical="center" wrapText="1"/>
    </xf>
    <xf numFmtId="196" fontId="4" fillId="26" borderId="3" xfId="0" applyNumberFormat="1" applyFont="1" applyFill="1" applyBorder="1" applyAlignment="1">
      <alignment horizontal="center" vertical="center" wrapText="1"/>
    </xf>
    <xf numFmtId="196" fontId="4" fillId="29" borderId="3" xfId="0" applyNumberFormat="1" applyFont="1" applyFill="1" applyBorder="1" applyAlignment="1">
      <alignment horizontal="center" vertical="center" wrapText="1"/>
    </xf>
    <xf numFmtId="204" fontId="4" fillId="30" borderId="3" xfId="0" applyNumberFormat="1" applyFont="1" applyFill="1" applyBorder="1" applyAlignment="1">
      <alignment horizontal="center" vertical="center" wrapText="1"/>
    </xf>
    <xf numFmtId="0" fontId="4" fillId="26" borderId="14" xfId="245" applyFont="1" applyFill="1" applyBorder="1" applyAlignment="1">
      <alignment horizontal="left" vertical="center" wrapText="1"/>
    </xf>
    <xf numFmtId="0" fontId="4" fillId="26" borderId="3" xfId="0" applyFont="1" applyFill="1" applyBorder="1" applyAlignment="1">
      <alignment horizontal="left" vertical="center" wrapText="1"/>
    </xf>
    <xf numFmtId="188" fontId="5" fillId="30" borderId="3" xfId="237" applyNumberFormat="1" applyFont="1" applyFill="1" applyBorder="1" applyAlignment="1">
      <alignment horizontal="center" vertical="center" wrapText="1"/>
    </xf>
    <xf numFmtId="204" fontId="5" fillId="0" borderId="3" xfId="0" applyNumberFormat="1" applyFont="1" applyFill="1" applyBorder="1" applyAlignment="1">
      <alignment horizontal="center" vertical="center" wrapText="1"/>
    </xf>
    <xf numFmtId="204" fontId="4" fillId="0" borderId="3" xfId="0" applyNumberFormat="1" applyFont="1" applyFill="1" applyBorder="1" applyAlignment="1">
      <alignment horizontal="center" vertical="center" wrapText="1"/>
    </xf>
    <xf numFmtId="203" fontId="4" fillId="29" borderId="3" xfId="0" applyNumberFormat="1" applyFont="1" applyFill="1" applyBorder="1" applyAlignment="1">
      <alignment horizontal="center" vertical="center" wrapText="1"/>
    </xf>
    <xf numFmtId="196" fontId="5" fillId="31" borderId="3" xfId="0" applyNumberFormat="1" applyFont="1" applyFill="1" applyBorder="1" applyAlignment="1">
      <alignment horizontal="center" vertical="center" wrapText="1"/>
    </xf>
    <xf numFmtId="189" fontId="5" fillId="29" borderId="3" xfId="237" applyNumberFormat="1" applyFont="1" applyFill="1" applyBorder="1" applyAlignment="1">
      <alignment horizontal="center" vertical="center" wrapText="1"/>
    </xf>
    <xf numFmtId="196" fontId="5" fillId="29" borderId="3" xfId="0" applyNumberFormat="1" applyFont="1" applyFill="1" applyBorder="1" applyAlignment="1">
      <alignment vertical="center" wrapText="1"/>
    </xf>
    <xf numFmtId="0" fontId="70" fillId="0" borderId="0" xfId="0" applyFont="1"/>
    <xf numFmtId="0" fontId="71" fillId="0" borderId="0" xfId="0" applyFont="1"/>
    <xf numFmtId="188" fontId="70" fillId="0" borderId="0" xfId="0" applyNumberFormat="1" applyFont="1"/>
    <xf numFmtId="0" fontId="71" fillId="0" borderId="0" xfId="0" applyFont="1" applyAlignment="1">
      <alignment horizontal="center"/>
    </xf>
    <xf numFmtId="188" fontId="71" fillId="0" borderId="0" xfId="0" applyNumberFormat="1" applyFont="1"/>
    <xf numFmtId="0" fontId="70" fillId="0" borderId="0" xfId="0" applyFont="1" applyAlignment="1">
      <alignment wrapText="1"/>
    </xf>
    <xf numFmtId="0" fontId="71" fillId="0" borderId="0" xfId="0" applyFont="1" applyAlignment="1">
      <alignment horizontal="right"/>
    </xf>
    <xf numFmtId="0" fontId="72" fillId="0" borderId="0" xfId="0" applyFont="1"/>
    <xf numFmtId="0" fontId="0" fillId="0" borderId="0" xfId="0" applyBorder="1"/>
    <xf numFmtId="196" fontId="5" fillId="0" borderId="0" xfId="0" applyNumberFormat="1" applyFont="1" applyFill="1" applyAlignment="1">
      <alignment vertical="center"/>
    </xf>
    <xf numFmtId="188" fontId="0" fillId="0" borderId="0" xfId="0" applyNumberFormat="1"/>
    <xf numFmtId="0" fontId="70" fillId="0" borderId="0" xfId="0" applyFont="1" applyAlignment="1">
      <alignment horizontal="center"/>
    </xf>
    <xf numFmtId="196" fontId="5" fillId="0" borderId="0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center" vertical="center" wrapText="1"/>
    </xf>
    <xf numFmtId="203" fontId="5" fillId="29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/>
    </xf>
    <xf numFmtId="0" fontId="75" fillId="0" borderId="0" xfId="0" applyFont="1" applyFill="1" applyBorder="1" applyAlignment="1">
      <alignment horizontal="left" vertical="center"/>
    </xf>
    <xf numFmtId="0" fontId="74" fillId="0" borderId="0" xfId="0" applyFont="1" applyFill="1" applyAlignment="1">
      <alignment vertical="center"/>
    </xf>
    <xf numFmtId="0" fontId="74" fillId="0" borderId="0" xfId="0" applyFont="1" applyFill="1"/>
    <xf numFmtId="0" fontId="74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/>
    <xf numFmtId="0" fontId="73" fillId="0" borderId="0" xfId="0" applyFont="1" applyFill="1" applyAlignment="1">
      <alignment vertical="center" wrapText="1" shrinkToFit="1"/>
    </xf>
    <xf numFmtId="0" fontId="76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189" fontId="4" fillId="0" borderId="0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wrapText="1" shrinkToFit="1"/>
    </xf>
    <xf numFmtId="188" fontId="5" fillId="29" borderId="3" xfId="0" applyNumberFormat="1" applyFont="1" applyFill="1" applyBorder="1" applyAlignment="1">
      <alignment horizontal="center" vertical="center" wrapText="1"/>
    </xf>
    <xf numFmtId="188" fontId="5" fillId="0" borderId="3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3" fontId="5" fillId="0" borderId="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/>
    <xf numFmtId="0" fontId="5" fillId="0" borderId="0" xfId="0" applyFont="1" applyFill="1" applyBorder="1" applyAlignment="1"/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77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/>
    </xf>
    <xf numFmtId="0" fontId="78" fillId="0" borderId="0" xfId="0" applyFont="1" applyFill="1" applyBorder="1" applyAlignment="1"/>
    <xf numFmtId="0" fontId="78" fillId="0" borderId="0" xfId="0" applyFont="1" applyFill="1" applyAlignment="1">
      <alignment vertical="center"/>
    </xf>
    <xf numFmtId="0" fontId="77" fillId="0" borderId="0" xfId="0" applyFont="1" applyFill="1" applyBorder="1" applyAlignment="1"/>
    <xf numFmtId="0" fontId="0" fillId="0" borderId="0" xfId="0" applyFont="1"/>
    <xf numFmtId="0" fontId="70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80" fillId="0" borderId="0" xfId="0" applyFont="1" applyAlignment="1">
      <alignment horizontal="center"/>
    </xf>
    <xf numFmtId="0" fontId="70" fillId="0" borderId="0" xfId="0" applyFont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1" fillId="0" borderId="0" xfId="0" applyFont="1" applyBorder="1"/>
    <xf numFmtId="0" fontId="81" fillId="0" borderId="0" xfId="0" applyFont="1"/>
    <xf numFmtId="0" fontId="82" fillId="0" borderId="0" xfId="0" applyFont="1"/>
    <xf numFmtId="0" fontId="81" fillId="0" borderId="3" xfId="0" applyFont="1" applyBorder="1" applyAlignment="1">
      <alignment horizontal="center" wrapText="1"/>
    </xf>
    <xf numFmtId="0" fontId="71" fillId="0" borderId="3" xfId="0" applyFont="1" applyBorder="1" applyAlignment="1">
      <alignment horizontal="center" wrapText="1"/>
    </xf>
    <xf numFmtId="0" fontId="81" fillId="0" borderId="0" xfId="0" applyFont="1" applyBorder="1" applyAlignment="1">
      <alignment horizontal="center"/>
    </xf>
    <xf numFmtId="0" fontId="0" fillId="0" borderId="0" xfId="0" applyAlignment="1"/>
    <xf numFmtId="0" fontId="70" fillId="0" borderId="0" xfId="0" applyFont="1" applyAlignment="1"/>
    <xf numFmtId="188" fontId="70" fillId="0" borderId="0" xfId="0" applyNumberFormat="1" applyFont="1" applyAlignment="1"/>
    <xf numFmtId="0" fontId="71" fillId="0" borderId="0" xfId="0" applyFont="1" applyBorder="1" applyAlignment="1">
      <alignment wrapText="1"/>
    </xf>
    <xf numFmtId="0" fontId="71" fillId="0" borderId="19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3" xfId="237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89" fontId="5" fillId="0" borderId="0" xfId="0" applyNumberFormat="1" applyFont="1" applyFill="1" applyBorder="1" applyAlignment="1">
      <alignment horizontal="center" vertical="center" wrapText="1"/>
    </xf>
    <xf numFmtId="189" fontId="5" fillId="0" borderId="0" xfId="0" quotePrefix="1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89" fontId="5" fillId="0" borderId="0" xfId="0" applyNumberFormat="1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189" fontId="5" fillId="0" borderId="0" xfId="0" quotePrefix="1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16" xfId="245" applyFont="1" applyFill="1" applyBorder="1" applyAlignment="1">
      <alignment horizontal="center" vertical="center" wrapText="1"/>
    </xf>
    <xf numFmtId="0" fontId="5" fillId="0" borderId="15" xfId="245" applyFont="1" applyFill="1" applyBorder="1" applyAlignment="1">
      <alignment horizontal="center" vertical="center" wrapText="1"/>
    </xf>
    <xf numFmtId="0" fontId="5" fillId="0" borderId="16" xfId="237" applyNumberFormat="1" applyFont="1" applyFill="1" applyBorder="1" applyAlignment="1">
      <alignment horizontal="center" vertical="center" wrapText="1"/>
    </xf>
    <xf numFmtId="0" fontId="5" fillId="0" borderId="15" xfId="237" applyNumberFormat="1" applyFont="1" applyFill="1" applyBorder="1" applyAlignment="1">
      <alignment horizontal="center" vertical="center" wrapText="1"/>
    </xf>
    <xf numFmtId="0" fontId="4" fillId="0" borderId="0" xfId="237" applyNumberFormat="1" applyFont="1" applyFill="1" applyBorder="1" applyAlignment="1">
      <alignment horizontal="center" vertical="center" wrapText="1"/>
    </xf>
    <xf numFmtId="189" fontId="78" fillId="0" borderId="0" xfId="0" applyNumberFormat="1" applyFont="1" applyFill="1" applyBorder="1" applyAlignment="1">
      <alignment horizontal="center" vertical="center" wrapText="1"/>
    </xf>
    <xf numFmtId="189" fontId="78" fillId="0" borderId="0" xfId="0" quotePrefix="1" applyNumberFormat="1" applyFont="1" applyFill="1" applyBorder="1" applyAlignment="1">
      <alignment horizontal="center" vertical="center" wrapText="1"/>
    </xf>
    <xf numFmtId="202" fontId="5" fillId="29" borderId="14" xfId="0" applyNumberFormat="1" applyFont="1" applyFill="1" applyBorder="1" applyAlignment="1">
      <alignment horizontal="center" vertical="center" wrapText="1"/>
    </xf>
    <xf numFmtId="202" fontId="5" fillId="29" borderId="18" xfId="0" applyNumberFormat="1" applyFont="1" applyFill="1" applyBorder="1" applyAlignment="1">
      <alignment horizontal="center" vertical="center" wrapText="1"/>
    </xf>
    <xf numFmtId="202" fontId="5" fillId="0" borderId="14" xfId="0" applyNumberFormat="1" applyFont="1" applyFill="1" applyBorder="1" applyAlignment="1">
      <alignment horizontal="center" vertical="center" wrapText="1"/>
    </xf>
    <xf numFmtId="202" fontId="5" fillId="0" borderId="18" xfId="0" applyNumberFormat="1" applyFont="1" applyFill="1" applyBorder="1" applyAlignment="1">
      <alignment horizontal="center" vertical="center" wrapText="1"/>
    </xf>
    <xf numFmtId="202" fontId="4" fillId="0" borderId="14" xfId="0" applyNumberFormat="1" applyFont="1" applyFill="1" applyBorder="1" applyAlignment="1">
      <alignment horizontal="center" vertical="center" wrapText="1"/>
    </xf>
    <xf numFmtId="202" fontId="4" fillId="0" borderId="18" xfId="0" applyNumberFormat="1" applyFont="1" applyFill="1" applyBorder="1" applyAlignment="1">
      <alignment horizontal="center" vertical="center" wrapText="1"/>
    </xf>
    <xf numFmtId="202" fontId="4" fillId="29" borderId="14" xfId="0" applyNumberFormat="1" applyFont="1" applyFill="1" applyBorder="1" applyAlignment="1">
      <alignment horizontal="center" vertical="center" wrapText="1"/>
    </xf>
    <xf numFmtId="202" fontId="4" fillId="29" borderId="18" xfId="0" applyNumberFormat="1" applyFont="1" applyFill="1" applyBorder="1" applyAlignment="1">
      <alignment horizontal="center" vertical="center" wrapText="1"/>
    </xf>
    <xf numFmtId="203" fontId="5" fillId="0" borderId="14" xfId="0" applyNumberFormat="1" applyFont="1" applyFill="1" applyBorder="1" applyAlignment="1">
      <alignment horizontal="center" vertical="center" wrapText="1"/>
    </xf>
    <xf numFmtId="203" fontId="5" fillId="0" borderId="18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203" fontId="5" fillId="0" borderId="3" xfId="0" applyNumberFormat="1" applyFont="1" applyFill="1" applyBorder="1" applyAlignment="1">
      <alignment horizontal="right" vertical="center" wrapText="1"/>
    </xf>
    <xf numFmtId="203" fontId="5" fillId="0" borderId="14" xfId="0" applyNumberFormat="1" applyFont="1" applyFill="1" applyBorder="1" applyAlignment="1">
      <alignment horizontal="right" vertical="center" wrapText="1"/>
    </xf>
    <xf numFmtId="203" fontId="5" fillId="0" borderId="17" xfId="0" applyNumberFormat="1" applyFont="1" applyFill="1" applyBorder="1" applyAlignment="1">
      <alignment horizontal="right" vertical="center" wrapText="1"/>
    </xf>
    <xf numFmtId="203" fontId="5" fillId="0" borderId="18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203" fontId="5" fillId="0" borderId="3" xfId="0" applyNumberFormat="1" applyFont="1" applyFill="1" applyBorder="1" applyAlignment="1">
      <alignment horizontal="center" vertical="center" wrapText="1"/>
    </xf>
    <xf numFmtId="203" fontId="4" fillId="29" borderId="14" xfId="0" applyNumberFormat="1" applyFont="1" applyFill="1" applyBorder="1" applyAlignment="1">
      <alignment horizontal="center" vertical="center" wrapText="1"/>
    </xf>
    <xf numFmtId="203" fontId="4" fillId="29" borderId="18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203" fontId="4" fillId="29" borderId="3" xfId="0" applyNumberFormat="1" applyFont="1" applyFill="1" applyBorder="1" applyAlignment="1">
      <alignment horizontal="center" vertical="center" wrapText="1"/>
    </xf>
    <xf numFmtId="203" fontId="5" fillId="29" borderId="3" xfId="0" applyNumberFormat="1" applyFont="1" applyFill="1" applyBorder="1" applyAlignment="1">
      <alignment horizontal="center" vertical="center" wrapText="1"/>
    </xf>
    <xf numFmtId="203" fontId="5" fillId="0" borderId="17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89" fontId="5" fillId="0" borderId="1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189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 shrinkToFi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7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right" wrapText="1"/>
    </xf>
    <xf numFmtId="1" fontId="5" fillId="0" borderId="17" xfId="0" applyNumberFormat="1" applyFont="1" applyFill="1" applyBorder="1" applyAlignment="1">
      <alignment horizontal="right" wrapText="1"/>
    </xf>
    <xf numFmtId="1" fontId="5" fillId="0" borderId="18" xfId="0" applyNumberFormat="1" applyFont="1" applyFill="1" applyBorder="1" applyAlignment="1">
      <alignment horizontal="right" wrapText="1"/>
    </xf>
    <xf numFmtId="202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left" vertical="center" wrapText="1"/>
    </xf>
    <xf numFmtId="0" fontId="15" fillId="0" borderId="17" xfId="0" applyFont="1" applyBorder="1"/>
    <xf numFmtId="0" fontId="15" fillId="0" borderId="18" xfId="0" applyFont="1" applyBorder="1"/>
    <xf numFmtId="1" fontId="4" fillId="29" borderId="14" xfId="0" applyNumberFormat="1" applyFont="1" applyFill="1" applyBorder="1" applyAlignment="1">
      <alignment horizontal="right" wrapText="1" shrinkToFit="1"/>
    </xf>
    <xf numFmtId="1" fontId="4" fillId="29" borderId="17" xfId="0" applyNumberFormat="1" applyFont="1" applyFill="1" applyBorder="1" applyAlignment="1">
      <alignment horizontal="right" wrapText="1" shrinkToFit="1"/>
    </xf>
    <xf numFmtId="1" fontId="4" fillId="29" borderId="18" xfId="0" applyNumberFormat="1" applyFont="1" applyFill="1" applyBorder="1" applyAlignment="1">
      <alignment horizontal="right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202" fontId="4" fillId="0" borderId="17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203" fontId="4" fillId="29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78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03" fontId="5" fillId="29" borderId="14" xfId="0" applyNumberFormat="1" applyFont="1" applyFill="1" applyBorder="1" applyAlignment="1">
      <alignment horizontal="center" vertical="center" wrapText="1"/>
    </xf>
    <xf numFmtId="203" fontId="5" fillId="29" borderId="18" xfId="0" applyNumberFormat="1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 wrapText="1"/>
    </xf>
    <xf numFmtId="0" fontId="73" fillId="0" borderId="17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76" fillId="0" borderId="0" xfId="0" applyFont="1" applyFill="1" applyAlignment="1">
      <alignment vertical="center" wrapText="1"/>
    </xf>
    <xf numFmtId="0" fontId="74" fillId="0" borderId="0" xfId="0" applyFont="1" applyAlignment="1">
      <alignment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externalLink" Target="externalLinks/externalLink3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3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externalLink" Target="externalLinks/externalLink3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externalLink" Target="externalLinks/externalLink3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3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49"/>
  <sheetViews>
    <sheetView tabSelected="1" zoomScale="75" zoomScaleNormal="69" zoomScaleSheetLayoutView="69" workbookViewId="0">
      <selection activeCell="F25" sqref="F25"/>
    </sheetView>
  </sheetViews>
  <sheetFormatPr defaultRowHeight="18.75"/>
  <cols>
    <col min="1" max="1" width="73.28515625" style="3" customWidth="1"/>
    <col min="2" max="2" width="15.28515625" style="26" customWidth="1"/>
    <col min="3" max="3" width="14.5703125" style="26" customWidth="1"/>
    <col min="4" max="4" width="15.5703125" style="26" customWidth="1"/>
    <col min="5" max="5" width="15.85546875" style="26" customWidth="1"/>
    <col min="6" max="9" width="16.7109375" style="3" customWidth="1"/>
    <col min="10" max="10" width="18.140625" style="3" customWidth="1"/>
    <col min="11" max="11" width="10" style="3" customWidth="1"/>
    <col min="12" max="12" width="9.5703125" style="3" customWidth="1"/>
    <col min="13" max="14" width="9.140625" style="3" customWidth="1"/>
    <col min="15" max="15" width="10.5703125" style="3" customWidth="1"/>
    <col min="16" max="16384" width="9.140625" style="3"/>
  </cols>
  <sheetData>
    <row r="1" spans="1:10">
      <c r="A1" s="218" t="s">
        <v>377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218" t="s">
        <v>137</v>
      </c>
      <c r="B3" s="218"/>
      <c r="C3" s="218"/>
      <c r="D3" s="218"/>
      <c r="E3" s="218"/>
      <c r="F3" s="218"/>
      <c r="G3" s="218"/>
      <c r="H3" s="218"/>
      <c r="I3" s="218"/>
      <c r="J3" s="218"/>
    </row>
    <row r="4" spans="1:10" ht="12" customHeight="1">
      <c r="B4" s="28"/>
      <c r="C4" s="4"/>
      <c r="D4" s="28"/>
      <c r="E4" s="28"/>
      <c r="F4" s="28"/>
      <c r="G4" s="28"/>
      <c r="H4" s="28"/>
      <c r="I4" s="28"/>
      <c r="J4" s="28"/>
    </row>
    <row r="5" spans="1:10" ht="31.5" customHeight="1">
      <c r="A5" s="216" t="s">
        <v>169</v>
      </c>
      <c r="B5" s="202" t="s">
        <v>8</v>
      </c>
      <c r="C5" s="207" t="s">
        <v>378</v>
      </c>
      <c r="D5" s="207" t="s">
        <v>395</v>
      </c>
      <c r="E5" s="222" t="s">
        <v>396</v>
      </c>
      <c r="F5" s="202" t="s">
        <v>394</v>
      </c>
      <c r="G5" s="219" t="s">
        <v>170</v>
      </c>
      <c r="H5" s="220"/>
      <c r="I5" s="220"/>
      <c r="J5" s="221"/>
    </row>
    <row r="6" spans="1:10" ht="54.75" customHeight="1">
      <c r="A6" s="216"/>
      <c r="B6" s="202"/>
      <c r="C6" s="208"/>
      <c r="D6" s="208"/>
      <c r="E6" s="223"/>
      <c r="F6" s="202"/>
      <c r="G6" s="7" t="s">
        <v>164</v>
      </c>
      <c r="H6" s="7" t="s">
        <v>165</v>
      </c>
      <c r="I6" s="7" t="s">
        <v>166</v>
      </c>
      <c r="J6" s="7" t="s">
        <v>211</v>
      </c>
    </row>
    <row r="7" spans="1:10" ht="20.100000000000001" customHeight="1">
      <c r="A7" s="6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</row>
    <row r="8" spans="1:10" ht="24.95" customHeight="1">
      <c r="A8" s="217" t="s">
        <v>82</v>
      </c>
      <c r="B8" s="217"/>
      <c r="C8" s="217"/>
      <c r="D8" s="217"/>
      <c r="E8" s="217"/>
      <c r="F8" s="217"/>
      <c r="G8" s="217"/>
      <c r="H8" s="217"/>
      <c r="I8" s="217"/>
      <c r="J8" s="217"/>
    </row>
    <row r="9" spans="1:10" ht="20.100000000000001" customHeight="1">
      <c r="A9" s="73" t="s">
        <v>138</v>
      </c>
      <c r="B9" s="6">
        <v>1000</v>
      </c>
      <c r="C9" s="89">
        <f>'I. Фін результат'!C7</f>
        <v>42539</v>
      </c>
      <c r="D9" s="89">
        <f>'I. Фін результат'!D7</f>
        <v>54140</v>
      </c>
      <c r="E9" s="89">
        <f>'I. Фін результат'!E7</f>
        <v>75793.600000000006</v>
      </c>
      <c r="F9" s="89">
        <f>'I. Фін результат'!F7</f>
        <v>95891</v>
      </c>
      <c r="G9" s="134">
        <v>100685.55</v>
      </c>
      <c r="H9" s="134">
        <v>105480.1</v>
      </c>
      <c r="I9" s="134">
        <v>110274.65</v>
      </c>
      <c r="J9" s="134">
        <v>115069.2</v>
      </c>
    </row>
    <row r="10" spans="1:10" ht="20.100000000000001" customHeight="1">
      <c r="A10" s="73" t="s">
        <v>119</v>
      </c>
      <c r="B10" s="6">
        <v>1010</v>
      </c>
      <c r="C10" s="89">
        <f>'I. Фін результат'!C8</f>
        <v>-57200.300999999999</v>
      </c>
      <c r="D10" s="89">
        <f>'I. Фін результат'!D8</f>
        <v>-52779</v>
      </c>
      <c r="E10" s="89">
        <f>'I. Фін результат'!E8</f>
        <v>-66774.357000000004</v>
      </c>
      <c r="F10" s="89">
        <f>'I. Фін результат'!F8</f>
        <v>-83931.56</v>
      </c>
      <c r="G10" s="134">
        <v>88128.6</v>
      </c>
      <c r="H10" s="134">
        <v>92325.2</v>
      </c>
      <c r="I10" s="134">
        <v>96521.8</v>
      </c>
      <c r="J10" s="134">
        <v>100718.39999999999</v>
      </c>
    </row>
    <row r="11" spans="1:10" ht="20.100000000000001" customHeight="1">
      <c r="A11" s="74" t="s">
        <v>184</v>
      </c>
      <c r="B11" s="6">
        <v>1020</v>
      </c>
      <c r="C11" s="122">
        <f>SUM(C9:C10)</f>
        <v>-14661.300999999999</v>
      </c>
      <c r="D11" s="122">
        <f t="shared" ref="D11:J11" si="0">SUM(D9:D10)</f>
        <v>1361</v>
      </c>
      <c r="E11" s="122">
        <f t="shared" si="0"/>
        <v>9019.2430000000022</v>
      </c>
      <c r="F11" s="122">
        <f t="shared" si="0"/>
        <v>11959.440000000002</v>
      </c>
      <c r="G11" s="122">
        <f t="shared" si="0"/>
        <v>188814.15000000002</v>
      </c>
      <c r="H11" s="122">
        <f t="shared" si="0"/>
        <v>197805.3</v>
      </c>
      <c r="I11" s="122">
        <f t="shared" si="0"/>
        <v>206796.45</v>
      </c>
      <c r="J11" s="122">
        <f t="shared" si="0"/>
        <v>215787.59999999998</v>
      </c>
    </row>
    <row r="12" spans="1:10" ht="20.100000000000001" customHeight="1">
      <c r="A12" s="73" t="s">
        <v>107</v>
      </c>
      <c r="B12" s="6">
        <v>1030</v>
      </c>
      <c r="C12" s="89">
        <f>'I. Фін результат'!C18</f>
        <v>-4373.2479999999996</v>
      </c>
      <c r="D12" s="89">
        <f>'I. Фін результат'!D18</f>
        <v>-4692</v>
      </c>
      <c r="E12" s="89">
        <f>'I. Фін результат'!E18</f>
        <v>-5503.9000000000005</v>
      </c>
      <c r="F12" s="89">
        <f>'I. Фін результат'!F18</f>
        <v>-6752.9</v>
      </c>
      <c r="G12" s="134">
        <v>4090.65</v>
      </c>
      <c r="H12" s="134">
        <v>7428.3</v>
      </c>
      <c r="I12" s="134">
        <v>7765.95</v>
      </c>
      <c r="J12" s="134">
        <v>8103.6</v>
      </c>
    </row>
    <row r="13" spans="1:10" ht="20.100000000000001" customHeight="1">
      <c r="A13" s="73" t="s">
        <v>106</v>
      </c>
      <c r="B13" s="6">
        <v>1060</v>
      </c>
      <c r="C13" s="89">
        <f>'I. Фін результат'!C41</f>
        <v>-1312.097</v>
      </c>
      <c r="D13" s="89">
        <f>'I. Фін результат'!D41</f>
        <v>-1028</v>
      </c>
      <c r="E13" s="89">
        <f>'I. Фін результат'!E41</f>
        <v>-1678.7599999999998</v>
      </c>
      <c r="F13" s="89">
        <f>'I. Фін результат'!F41</f>
        <v>-3023.5</v>
      </c>
      <c r="G13" s="134">
        <v>3175.2</v>
      </c>
      <c r="H13" s="134">
        <v>3326.4</v>
      </c>
      <c r="I13" s="134">
        <v>3477.6</v>
      </c>
      <c r="J13" s="134">
        <v>3628.2</v>
      </c>
    </row>
    <row r="14" spans="1:10" ht="20.100000000000001" customHeight="1">
      <c r="A14" s="73" t="s">
        <v>213</v>
      </c>
      <c r="B14" s="6">
        <v>1070</v>
      </c>
      <c r="C14" s="89">
        <f>'I. Фін результат'!C49</f>
        <v>31085</v>
      </c>
      <c r="D14" s="89">
        <f>'I. Фін результат'!D49</f>
        <v>14870</v>
      </c>
      <c r="E14" s="89">
        <f>'I. Фін результат'!E49</f>
        <v>25586</v>
      </c>
      <c r="F14" s="89">
        <f>'I. Фін результат'!F49</f>
        <v>25186.400000000001</v>
      </c>
      <c r="G14" s="134">
        <v>25437.86</v>
      </c>
      <c r="H14" s="134">
        <v>25689.72</v>
      </c>
      <c r="I14" s="134">
        <v>25941.58</v>
      </c>
      <c r="J14" s="134">
        <v>26193.439999999999</v>
      </c>
    </row>
    <row r="15" spans="1:10" ht="20.100000000000001" customHeight="1">
      <c r="A15" s="73" t="s">
        <v>17</v>
      </c>
      <c r="B15" s="6">
        <v>1080</v>
      </c>
      <c r="C15" s="89">
        <f>'I. Фін результат'!C53</f>
        <v>-26301</v>
      </c>
      <c r="D15" s="89">
        <f>'I. Фін результат'!D53</f>
        <v>-10211</v>
      </c>
      <c r="E15" s="89">
        <f>'I. Фін результат'!E53</f>
        <v>-26721</v>
      </c>
      <c r="F15" s="89">
        <f>'I. Фін результат'!F53</f>
        <v>-26094.7</v>
      </c>
      <c r="G15" s="134">
        <v>26355.95</v>
      </c>
      <c r="H15" s="134">
        <v>26616.9</v>
      </c>
      <c r="I15" s="134">
        <v>26871.85</v>
      </c>
      <c r="J15" s="134">
        <v>27138.799999999999</v>
      </c>
    </row>
    <row r="16" spans="1:10" ht="20.100000000000001" customHeight="1">
      <c r="A16" s="40" t="s">
        <v>4</v>
      </c>
      <c r="B16" s="6">
        <v>1100</v>
      </c>
      <c r="C16" s="122">
        <f>SUM(C11:C15)</f>
        <v>-15562.646000000001</v>
      </c>
      <c r="D16" s="122">
        <f t="shared" ref="D16:J16" si="1">SUM(D11:D15)</f>
        <v>300</v>
      </c>
      <c r="E16" s="122">
        <f t="shared" si="1"/>
        <v>701.58300000000236</v>
      </c>
      <c r="F16" s="122">
        <f t="shared" si="1"/>
        <v>1274.7400000000016</v>
      </c>
      <c r="G16" s="122">
        <f t="shared" si="1"/>
        <v>247873.81000000006</v>
      </c>
      <c r="H16" s="122">
        <f t="shared" si="1"/>
        <v>260866.61999999997</v>
      </c>
      <c r="I16" s="122">
        <f t="shared" si="1"/>
        <v>270853.43</v>
      </c>
      <c r="J16" s="122">
        <f t="shared" si="1"/>
        <v>280851.64</v>
      </c>
    </row>
    <row r="17" spans="1:10" ht="20.100000000000001" customHeight="1">
      <c r="A17" s="75" t="s">
        <v>108</v>
      </c>
      <c r="B17" s="6">
        <v>1310</v>
      </c>
      <c r="C17" s="117">
        <f>'I. Фін результат'!C89</f>
        <v>-13698</v>
      </c>
      <c r="D17" s="117">
        <f>'I. Фін результат'!D89</f>
        <v>2311</v>
      </c>
      <c r="E17" s="117">
        <f>'I. Фін результат'!E89</f>
        <v>2658.7830000000022</v>
      </c>
      <c r="F17" s="117">
        <f>'I. Фін результат'!F89</f>
        <v>3206.74</v>
      </c>
      <c r="G17" s="117">
        <f>'I. Фін результат'!G89</f>
        <v>797.11999999999898</v>
      </c>
      <c r="H17" s="117">
        <f>'I. Фін результат'!H89</f>
        <v>666.95000000000073</v>
      </c>
      <c r="I17" s="117">
        <f>'I. Фін результат'!I89</f>
        <v>835.52</v>
      </c>
      <c r="J17" s="117">
        <f>'I. Фін результат'!J89</f>
        <v>907.15000000000009</v>
      </c>
    </row>
    <row r="18" spans="1:10" ht="20.100000000000001" customHeight="1">
      <c r="A18" s="75" t="s">
        <v>155</v>
      </c>
      <c r="B18" s="6">
        <f>' V. Коефіцієнти'!B8</f>
        <v>5010</v>
      </c>
      <c r="C18" s="127">
        <f>(C17/C9)*100</f>
        <v>-32.20103904652202</v>
      </c>
      <c r="D18" s="127">
        <f t="shared" ref="D18:J18" si="2">(D17/D9)*100</f>
        <v>4.268562984854082</v>
      </c>
      <c r="E18" s="127">
        <f t="shared" si="2"/>
        <v>3.5079254712798997</v>
      </c>
      <c r="F18" s="127">
        <f t="shared" si="2"/>
        <v>3.3441511716428027</v>
      </c>
      <c r="G18" s="127">
        <f t="shared" si="2"/>
        <v>0.79169255171173902</v>
      </c>
      <c r="H18" s="127">
        <f t="shared" si="2"/>
        <v>0.63229936262859132</v>
      </c>
      <c r="I18" s="127">
        <f t="shared" si="2"/>
        <v>0.75767186746908743</v>
      </c>
      <c r="J18" s="127">
        <f t="shared" si="2"/>
        <v>0.78835170488714623</v>
      </c>
    </row>
    <row r="19" spans="1:10" ht="20.100000000000001" customHeight="1">
      <c r="A19" s="8" t="s">
        <v>214</v>
      </c>
      <c r="B19" s="9">
        <v>1110</v>
      </c>
      <c r="C19" s="89">
        <f>'I. Фін результат'!C61</f>
        <v>0</v>
      </c>
      <c r="D19" s="89">
        <f>'I. Фін результат'!D61</f>
        <v>0</v>
      </c>
      <c r="E19" s="89">
        <f>'I. Фін результат'!E61</f>
        <v>0</v>
      </c>
      <c r="F19" s="89">
        <f>'I. Фін результат'!F61</f>
        <v>0</v>
      </c>
      <c r="G19" s="89">
        <f>'I. Фін результат'!G61</f>
        <v>0</v>
      </c>
      <c r="H19" s="89">
        <f>'I. Фін результат'!H61</f>
        <v>0</v>
      </c>
      <c r="I19" s="89">
        <f>'I. Фін результат'!I61</f>
        <v>0</v>
      </c>
      <c r="J19" s="89">
        <f>'I. Фін результат'!J61</f>
        <v>0</v>
      </c>
    </row>
    <row r="20" spans="1:10" ht="20.100000000000001" customHeight="1">
      <c r="A20" s="8" t="s">
        <v>215</v>
      </c>
      <c r="B20" s="9">
        <v>1120</v>
      </c>
      <c r="C20" s="89">
        <f>'I. Фін результат'!C62</f>
        <v>0</v>
      </c>
      <c r="D20" s="89">
        <f>'I. Фін результат'!D62</f>
        <v>0</v>
      </c>
      <c r="E20" s="89">
        <f>'I. Фін результат'!E62</f>
        <v>0</v>
      </c>
      <c r="F20" s="89">
        <f>'I. Фін результат'!F62</f>
        <v>0</v>
      </c>
      <c r="G20" s="89">
        <f>'I. Фін результат'!G62</f>
        <v>0</v>
      </c>
      <c r="H20" s="89">
        <f>'I. Фін результат'!H62</f>
        <v>0</v>
      </c>
      <c r="I20" s="89">
        <f>'I. Фін результат'!I62</f>
        <v>0</v>
      </c>
      <c r="J20" s="89">
        <f>'I. Фін результат'!J62</f>
        <v>0</v>
      </c>
    </row>
    <row r="21" spans="1:10" ht="20.100000000000001" customHeight="1">
      <c r="A21" s="8" t="s">
        <v>216</v>
      </c>
      <c r="B21" s="9">
        <v>1130</v>
      </c>
      <c r="C21" s="89">
        <f>'I. Фін результат'!C63</f>
        <v>0</v>
      </c>
      <c r="D21" s="89">
        <f>'I. Фін результат'!D63</f>
        <v>0</v>
      </c>
      <c r="E21" s="89">
        <f>'I. Фін результат'!E63</f>
        <v>0</v>
      </c>
      <c r="F21" s="89">
        <f>'I. Фін результат'!F63</f>
        <v>0</v>
      </c>
      <c r="G21" s="89">
        <f>'I. Фін результат'!G63</f>
        <v>0</v>
      </c>
      <c r="H21" s="89">
        <f>'I. Фін результат'!H63</f>
        <v>0</v>
      </c>
      <c r="I21" s="89">
        <f>'I. Фін результат'!I63</f>
        <v>0</v>
      </c>
      <c r="J21" s="89">
        <f>'I. Фін результат'!J63</f>
        <v>0</v>
      </c>
    </row>
    <row r="22" spans="1:10" ht="20.100000000000001" customHeight="1">
      <c r="A22" s="8" t="s">
        <v>217</v>
      </c>
      <c r="B22" s="9">
        <v>1140</v>
      </c>
      <c r="C22" s="89">
        <f>'I. Фін результат'!C64</f>
        <v>0</v>
      </c>
      <c r="D22" s="89">
        <f>'I. Фін результат'!D64</f>
        <v>0</v>
      </c>
      <c r="E22" s="89">
        <f>'I. Фін результат'!E64</f>
        <v>0</v>
      </c>
      <c r="F22" s="89">
        <f>'I. Фін результат'!F64</f>
        <v>0</v>
      </c>
      <c r="G22" s="89">
        <f>'I. Фін результат'!G64</f>
        <v>0</v>
      </c>
      <c r="H22" s="89">
        <f>'I. Фін результат'!H64</f>
        <v>0</v>
      </c>
      <c r="I22" s="89">
        <f>'I. Фін результат'!I64</f>
        <v>0</v>
      </c>
      <c r="J22" s="89">
        <f>'I. Фін результат'!J64</f>
        <v>0</v>
      </c>
    </row>
    <row r="23" spans="1:10" ht="20.100000000000001" customHeight="1">
      <c r="A23" s="8" t="s">
        <v>219</v>
      </c>
      <c r="B23" s="9">
        <v>1150</v>
      </c>
      <c r="C23" s="89">
        <f>'I. Фін результат'!C65</f>
        <v>35943</v>
      </c>
      <c r="D23" s="89">
        <f>'I. Фін результат'!D65</f>
        <v>32968</v>
      </c>
      <c r="E23" s="89">
        <f>'I. Фін результат'!E65</f>
        <v>35943</v>
      </c>
      <c r="F23" s="89">
        <f>'I. Фін результат'!F65</f>
        <v>35943</v>
      </c>
      <c r="G23" s="89">
        <f>'I. Фін результат'!G65</f>
        <v>8985</v>
      </c>
      <c r="H23" s="89">
        <f>'I. Фін результат'!H65</f>
        <v>8985</v>
      </c>
      <c r="I23" s="89">
        <f>'I. Фін результат'!I65</f>
        <v>8986</v>
      </c>
      <c r="J23" s="89">
        <f>'I. Фін результат'!J65</f>
        <v>8987</v>
      </c>
    </row>
    <row r="24" spans="1:10" ht="20.100000000000001" customHeight="1">
      <c r="A24" s="73" t="s">
        <v>220</v>
      </c>
      <c r="B24" s="6">
        <v>1160</v>
      </c>
      <c r="C24" s="89">
        <f>'I. Фін результат'!C68</f>
        <v>-36256</v>
      </c>
      <c r="D24" s="89">
        <f>'I. Фін результат'!D68</f>
        <v>-32968</v>
      </c>
      <c r="E24" s="89">
        <f>'I. Фін результат'!E68</f>
        <v>-36256</v>
      </c>
      <c r="F24" s="89">
        <f>'I. Фін результат'!F68</f>
        <v>-36256</v>
      </c>
      <c r="G24" s="89">
        <f>'I. Фін результат'!G68</f>
        <v>-9064</v>
      </c>
      <c r="H24" s="89">
        <f>'I. Фін результат'!H68</f>
        <v>-9064</v>
      </c>
      <c r="I24" s="89">
        <f>'I. Фін результат'!I68</f>
        <v>-9064</v>
      </c>
      <c r="J24" s="89">
        <f>'I. Фін результат'!J68</f>
        <v>-9064</v>
      </c>
    </row>
    <row r="25" spans="1:10" ht="20.100000000000001" customHeight="1">
      <c r="A25" s="75" t="s">
        <v>81</v>
      </c>
      <c r="B25" s="6">
        <v>1170</v>
      </c>
      <c r="C25" s="122">
        <f>SUM(C16, C19:C24)</f>
        <v>-15875.646000000001</v>
      </c>
      <c r="D25" s="122">
        <f t="shared" ref="D25:J25" si="3">SUM(D16, D19:D24)</f>
        <v>300</v>
      </c>
      <c r="E25" s="122">
        <f t="shared" si="3"/>
        <v>388.58299999999872</v>
      </c>
      <c r="F25" s="122">
        <f t="shared" si="3"/>
        <v>961.74000000000524</v>
      </c>
      <c r="G25" s="122">
        <f t="shared" si="3"/>
        <v>247794.81000000006</v>
      </c>
      <c r="H25" s="122">
        <f t="shared" si="3"/>
        <v>260787.62</v>
      </c>
      <c r="I25" s="122">
        <f t="shared" si="3"/>
        <v>270775.43</v>
      </c>
      <c r="J25" s="122">
        <f t="shared" si="3"/>
        <v>280774.64</v>
      </c>
    </row>
    <row r="26" spans="1:10" ht="20.100000000000001" customHeight="1">
      <c r="A26" s="8" t="s">
        <v>221</v>
      </c>
      <c r="B26" s="7">
        <v>1180</v>
      </c>
      <c r="C26" s="89">
        <f>'I. Фін результат'!C72</f>
        <v>0</v>
      </c>
      <c r="D26" s="89">
        <f>'I. Фін результат'!D72</f>
        <v>-20</v>
      </c>
      <c r="E26" s="89">
        <f>'I. Фін результат'!E72</f>
        <v>-70</v>
      </c>
      <c r="F26" s="89">
        <f>'I. Фін результат'!F72</f>
        <v>-173.2</v>
      </c>
      <c r="G26" s="89">
        <f>'I. Фін результат'!G72</f>
        <v>-42.3</v>
      </c>
      <c r="H26" s="89">
        <f>'I. Фін результат'!H72</f>
        <v>-18.899999999999999</v>
      </c>
      <c r="I26" s="89">
        <f>'I. Фін результат'!I72</f>
        <v>-49.5</v>
      </c>
      <c r="J26" s="89">
        <f>'I. Фін результат'!J72</f>
        <v>-62.5</v>
      </c>
    </row>
    <row r="27" spans="1:10" ht="20.100000000000001" customHeight="1">
      <c r="A27" s="8" t="s">
        <v>222</v>
      </c>
      <c r="B27" s="7">
        <v>1181</v>
      </c>
      <c r="C27" s="89">
        <f>'I. Фін результат'!C73</f>
        <v>0</v>
      </c>
      <c r="D27" s="89">
        <f>'I. Фін результат'!D73</f>
        <v>0</v>
      </c>
      <c r="E27" s="89">
        <f>'I. Фін результат'!E73</f>
        <v>0</v>
      </c>
      <c r="F27" s="89">
        <f>'I. Фін результат'!F73</f>
        <v>0</v>
      </c>
      <c r="G27" s="89">
        <f>'I. Фін результат'!G73</f>
        <v>0</v>
      </c>
      <c r="H27" s="89">
        <f>'I. Фін результат'!H73</f>
        <v>0</v>
      </c>
      <c r="I27" s="89">
        <f>'I. Фін результат'!I73</f>
        <v>0</v>
      </c>
      <c r="J27" s="89">
        <f>'I. Фін результат'!J73</f>
        <v>0</v>
      </c>
    </row>
    <row r="28" spans="1:10" ht="20.100000000000001" customHeight="1">
      <c r="A28" s="8" t="s">
        <v>223</v>
      </c>
      <c r="B28" s="9">
        <v>1190</v>
      </c>
      <c r="C28" s="89">
        <f>'I. Фін результат'!C74</f>
        <v>0</v>
      </c>
      <c r="D28" s="89">
        <f>'I. Фін результат'!D74</f>
        <v>0</v>
      </c>
      <c r="E28" s="89">
        <f>'I. Фін результат'!E74</f>
        <v>0</v>
      </c>
      <c r="F28" s="89">
        <f>'I. Фін результат'!F74</f>
        <v>0</v>
      </c>
      <c r="G28" s="89">
        <f>'I. Фін результат'!G74</f>
        <v>0</v>
      </c>
      <c r="H28" s="89">
        <f>'I. Фін результат'!H74</f>
        <v>0</v>
      </c>
      <c r="I28" s="89">
        <f>'I. Фін результат'!I74</f>
        <v>0</v>
      </c>
      <c r="J28" s="89">
        <f>'I. Фін результат'!J74</f>
        <v>0</v>
      </c>
    </row>
    <row r="29" spans="1:10" ht="20.100000000000001" customHeight="1">
      <c r="A29" s="8" t="s">
        <v>224</v>
      </c>
      <c r="B29" s="6">
        <v>1191</v>
      </c>
      <c r="C29" s="89">
        <f>'I. Фін результат'!C75</f>
        <v>0</v>
      </c>
      <c r="D29" s="89">
        <f>'I. Фін результат'!D75</f>
        <v>0</v>
      </c>
      <c r="E29" s="89">
        <f>'I. Фін результат'!E75</f>
        <v>0</v>
      </c>
      <c r="F29" s="89">
        <f>'I. Фін результат'!F75</f>
        <v>0</v>
      </c>
      <c r="G29" s="89">
        <f>'I. Фін результат'!G75</f>
        <v>0</v>
      </c>
      <c r="H29" s="89">
        <f>'I. Фін результат'!H75</f>
        <v>0</v>
      </c>
      <c r="I29" s="89">
        <f>'I. Фін результат'!I75</f>
        <v>0</v>
      </c>
      <c r="J29" s="89">
        <f>'I. Фін результат'!J75</f>
        <v>0</v>
      </c>
    </row>
    <row r="30" spans="1:10" ht="20.100000000000001" customHeight="1">
      <c r="A30" s="40" t="s">
        <v>332</v>
      </c>
      <c r="B30" s="6">
        <v>1200</v>
      </c>
      <c r="C30" s="122">
        <f>SUM(C25:C29)</f>
        <v>-15875.646000000001</v>
      </c>
      <c r="D30" s="122">
        <f t="shared" ref="D30:J30" si="4">SUM(D25:D29)</f>
        <v>280</v>
      </c>
      <c r="E30" s="122">
        <f t="shared" si="4"/>
        <v>318.58299999999872</v>
      </c>
      <c r="F30" s="122">
        <f t="shared" si="4"/>
        <v>788.54000000000519</v>
      </c>
      <c r="G30" s="122">
        <f t="shared" si="4"/>
        <v>247752.51000000007</v>
      </c>
      <c r="H30" s="122">
        <f t="shared" si="4"/>
        <v>260768.72</v>
      </c>
      <c r="I30" s="122">
        <f t="shared" si="4"/>
        <v>270725.93</v>
      </c>
      <c r="J30" s="122">
        <f t="shared" si="4"/>
        <v>280712.14</v>
      </c>
    </row>
    <row r="31" spans="1:10" ht="20.100000000000001" customHeight="1">
      <c r="A31" s="8" t="s">
        <v>334</v>
      </c>
      <c r="B31" s="9">
        <v>1201</v>
      </c>
      <c r="C31" s="89">
        <f>'I. Фін результат'!C77</f>
        <v>0</v>
      </c>
      <c r="D31" s="89">
        <f>'I. Фін результат'!D77</f>
        <v>280</v>
      </c>
      <c r="E31" s="89">
        <f>'I. Фін результат'!E77</f>
        <v>318.58299999999872</v>
      </c>
      <c r="F31" s="89">
        <f>'I. Фін результат'!F77</f>
        <v>788.53999999999974</v>
      </c>
      <c r="G31" s="89">
        <f>'I. Фін результат'!G77</f>
        <v>192.81999999999897</v>
      </c>
      <c r="H31" s="89">
        <f>'I. Фін результат'!H77</f>
        <v>86.050000000000722</v>
      </c>
      <c r="I31" s="89">
        <f>'I. Фін результат'!I77</f>
        <v>225.02000000000044</v>
      </c>
      <c r="J31" s="89">
        <f>'I. Фін результат'!J77</f>
        <v>284.64999999999964</v>
      </c>
    </row>
    <row r="32" spans="1:10" ht="20.100000000000001" customHeight="1">
      <c r="A32" s="8" t="s">
        <v>335</v>
      </c>
      <c r="B32" s="6">
        <v>1202</v>
      </c>
      <c r="C32" s="89">
        <f>'I. Фін результат'!C78</f>
        <v>-15875</v>
      </c>
      <c r="D32" s="89">
        <f>'I. Фін результат'!D78</f>
        <v>0</v>
      </c>
      <c r="E32" s="89">
        <f>'I. Фін результат'!E78</f>
        <v>0</v>
      </c>
      <c r="F32" s="89">
        <f>'I. Фін результат'!F78</f>
        <v>0</v>
      </c>
      <c r="G32" s="89">
        <f>'I. Фін результат'!G78</f>
        <v>0</v>
      </c>
      <c r="H32" s="89">
        <f>'I. Фін результат'!H78</f>
        <v>0</v>
      </c>
      <c r="I32" s="89">
        <f>'I. Фін результат'!I78</f>
        <v>0</v>
      </c>
      <c r="J32" s="89">
        <f>'I. Фін результат'!J78</f>
        <v>0</v>
      </c>
    </row>
    <row r="33" spans="1:10" ht="24.95" customHeight="1">
      <c r="A33" s="214" t="s">
        <v>112</v>
      </c>
      <c r="B33" s="214"/>
      <c r="C33" s="214"/>
      <c r="D33" s="214"/>
      <c r="E33" s="214"/>
      <c r="F33" s="214"/>
      <c r="G33" s="214"/>
      <c r="H33" s="214"/>
      <c r="I33" s="214"/>
      <c r="J33" s="214"/>
    </row>
    <row r="34" spans="1:10" ht="37.5">
      <c r="A34" s="55" t="s">
        <v>314</v>
      </c>
      <c r="B34" s="6">
        <v>2110</v>
      </c>
      <c r="C34" s="117">
        <f>'ІІ. Розр. з бюджетом'!C20</f>
        <v>9533</v>
      </c>
      <c r="D34" s="117">
        <f>'ІІ. Розр. з бюджетом'!D20</f>
        <v>5516</v>
      </c>
      <c r="E34" s="117">
        <f>'ІІ. Розр. з бюджетом'!E20</f>
        <v>11053</v>
      </c>
      <c r="F34" s="117">
        <f>'ІІ. Розр. з бюджетом'!F20</f>
        <v>12788.8</v>
      </c>
      <c r="G34" s="117">
        <f>'ІІ. Розр. з бюджетом'!G20</f>
        <v>3238.7</v>
      </c>
      <c r="H34" s="117">
        <f>'ІІ. Розр. з бюджетом'!H20</f>
        <v>3062.1</v>
      </c>
      <c r="I34" s="117">
        <f>'ІІ. Розр. з бюджетом'!I20</f>
        <v>3100.5</v>
      </c>
      <c r="J34" s="117">
        <f>'ІІ. Розр. з бюджетом'!J20</f>
        <v>3387.5</v>
      </c>
    </row>
    <row r="35" spans="1:10">
      <c r="A35" s="8" t="s">
        <v>274</v>
      </c>
      <c r="B35" s="6">
        <v>2111</v>
      </c>
      <c r="C35" s="89">
        <f>'ІІ. Розр. з бюджетом'!C21</f>
        <v>0</v>
      </c>
      <c r="D35" s="89">
        <f>'ІІ. Розр. з бюджетом'!D21</f>
        <v>-20</v>
      </c>
      <c r="E35" s="89">
        <f>'ІІ. Розр. з бюджетом'!E21</f>
        <v>-70</v>
      </c>
      <c r="F35" s="89">
        <f>'ІІ. Розр. з бюджетом'!F21</f>
        <v>-173.2</v>
      </c>
      <c r="G35" s="89">
        <f>'ІІ. Розр. з бюджетом'!G21</f>
        <v>-42.3</v>
      </c>
      <c r="H35" s="89">
        <f>'ІІ. Розр. з бюджетом'!H21</f>
        <v>-18.899999999999999</v>
      </c>
      <c r="I35" s="89">
        <f>'ІІ. Розр. з бюджетом'!I21</f>
        <v>-49.5</v>
      </c>
      <c r="J35" s="89">
        <f>'ІІ. Розр. з бюджетом'!J21</f>
        <v>-62.5</v>
      </c>
    </row>
    <row r="36" spans="1:10" ht="37.5">
      <c r="A36" s="8" t="s">
        <v>336</v>
      </c>
      <c r="B36" s="6">
        <v>2112</v>
      </c>
      <c r="C36" s="89">
        <f>'ІІ. Розр. з бюджетом'!C22</f>
        <v>3946</v>
      </c>
      <c r="D36" s="89">
        <f>'ІІ. Розр. з бюджетом'!D22</f>
        <v>5536</v>
      </c>
      <c r="E36" s="89">
        <f>'ІІ. Розр. з бюджетом'!E22</f>
        <v>5536</v>
      </c>
      <c r="F36" s="89">
        <f>'ІІ. Розр. з бюджетом'!F22</f>
        <v>6800</v>
      </c>
      <c r="G36" s="89">
        <f>'ІІ. Розр. з бюджетом'!G22</f>
        <v>1800</v>
      </c>
      <c r="H36" s="89">
        <f>'ІІ. Розр. з бюджетом'!H22</f>
        <v>1600</v>
      </c>
      <c r="I36" s="89">
        <f>'ІІ. Розр. з бюджетом'!I22</f>
        <v>1600</v>
      </c>
      <c r="J36" s="89">
        <f>'ІІ. Розр. з бюджетом'!J22</f>
        <v>1800</v>
      </c>
    </row>
    <row r="37" spans="1:10" ht="37.5">
      <c r="A37" s="45" t="s">
        <v>337</v>
      </c>
      <c r="B37" s="7">
        <v>2113</v>
      </c>
      <c r="C37" s="89">
        <f>'ІІ. Розр. з бюджетом'!C23</f>
        <v>0</v>
      </c>
      <c r="D37" s="89">
        <f>'ІІ. Розр. з бюджетом'!D23</f>
        <v>0</v>
      </c>
      <c r="E37" s="89">
        <f>'ІІ. Розр. з бюджетом'!E23</f>
        <v>0</v>
      </c>
      <c r="F37" s="89">
        <f>'ІІ. Розр. з бюджетом'!F23</f>
        <v>0</v>
      </c>
      <c r="G37" s="89">
        <f>'ІІ. Розр. з бюджетом'!G23</f>
        <v>0</v>
      </c>
      <c r="H37" s="89">
        <f>'ІІ. Розр. з бюджетом'!H23</f>
        <v>0</v>
      </c>
      <c r="I37" s="89">
        <f>'ІІ. Розр. з бюджетом'!I23</f>
        <v>0</v>
      </c>
      <c r="J37" s="89">
        <f>'ІІ. Розр. з бюджетом'!J23</f>
        <v>0</v>
      </c>
    </row>
    <row r="38" spans="1:10">
      <c r="A38" s="45" t="s">
        <v>71</v>
      </c>
      <c r="B38" s="50">
        <v>2114</v>
      </c>
      <c r="C38" s="89">
        <f>'ІІ. Розр. з бюджетом'!C24</f>
        <v>0</v>
      </c>
      <c r="D38" s="89">
        <f>'ІІ. Розр. з бюджетом'!D24</f>
        <v>0</v>
      </c>
      <c r="E38" s="89">
        <f>'ІІ. Розр. з бюджетом'!E24</f>
        <v>0</v>
      </c>
      <c r="F38" s="89">
        <f>'ІІ. Розр. з бюджетом'!F24</f>
        <v>0</v>
      </c>
      <c r="G38" s="89">
        <f>'ІІ. Розр. з бюджетом'!G24</f>
        <v>0</v>
      </c>
      <c r="H38" s="89">
        <f>'ІІ. Розр. з бюджетом'!H24</f>
        <v>0</v>
      </c>
      <c r="I38" s="89">
        <f>'ІІ. Розр. з бюджетом'!I24</f>
        <v>0</v>
      </c>
      <c r="J38" s="89">
        <f>'ІІ. Розр. з бюджетом'!J24</f>
        <v>0</v>
      </c>
    </row>
    <row r="39" spans="1:10" ht="37.5">
      <c r="A39" s="45" t="s">
        <v>318</v>
      </c>
      <c r="B39" s="50">
        <v>2115</v>
      </c>
      <c r="C39" s="89">
        <f>'ІІ. Розр. з бюджетом'!C25</f>
        <v>0</v>
      </c>
      <c r="D39" s="89">
        <f>'ІІ. Розр. з бюджетом'!D25</f>
        <v>0</v>
      </c>
      <c r="E39" s="89">
        <f>'ІІ. Розр. з бюджетом'!E25</f>
        <v>0</v>
      </c>
      <c r="F39" s="89">
        <f>'ІІ. Розр. з бюджетом'!F25</f>
        <v>0</v>
      </c>
      <c r="G39" s="89">
        <f>'ІІ. Розр. з бюджетом'!G25</f>
        <v>0</v>
      </c>
      <c r="H39" s="89">
        <f>'ІІ. Розр. з бюджетом'!H25</f>
        <v>0</v>
      </c>
      <c r="I39" s="89">
        <f>'ІІ. Розр. з бюджетом'!I25</f>
        <v>0</v>
      </c>
      <c r="J39" s="89">
        <f>'ІІ. Розр. з бюджетом'!J25</f>
        <v>0</v>
      </c>
    </row>
    <row r="40" spans="1:10">
      <c r="A40" s="72" t="s">
        <v>87</v>
      </c>
      <c r="B40" s="7">
        <v>2116</v>
      </c>
      <c r="C40" s="89">
        <f>'ІІ. Розр. з бюджетом'!C26</f>
        <v>0</v>
      </c>
      <c r="D40" s="89">
        <f>'ІІ. Розр. з бюджетом'!D26</f>
        <v>0</v>
      </c>
      <c r="E40" s="89">
        <f>'ІІ. Розр. з бюджетом'!E26</f>
        <v>0</v>
      </c>
      <c r="F40" s="89">
        <f>'ІІ. Розр. з бюджетом'!F26</f>
        <v>0</v>
      </c>
      <c r="G40" s="89">
        <f>'ІІ. Розр. з бюджетом'!G26</f>
        <v>0</v>
      </c>
      <c r="H40" s="89">
        <f>'ІІ. Розр. з бюджетом'!H26</f>
        <v>0</v>
      </c>
      <c r="I40" s="89">
        <f>'ІІ. Розр. з бюджетом'!I26</f>
        <v>0</v>
      </c>
      <c r="J40" s="89">
        <f>'ІІ. Розр. з бюджетом'!J26</f>
        <v>0</v>
      </c>
    </row>
    <row r="41" spans="1:10">
      <c r="A41" s="72" t="s">
        <v>338</v>
      </c>
      <c r="B41" s="7">
        <v>2117</v>
      </c>
      <c r="C41" s="89">
        <f>'ІІ. Розр. з бюджетом'!C27</f>
        <v>0</v>
      </c>
      <c r="D41" s="89">
        <f>'ІІ. Розр. з бюджетом'!D27</f>
        <v>0</v>
      </c>
      <c r="E41" s="89">
        <f>'ІІ. Розр. з бюджетом'!E27</f>
        <v>0</v>
      </c>
      <c r="F41" s="89">
        <f>'ІІ. Розр. з бюджетом'!F27</f>
        <v>0</v>
      </c>
      <c r="G41" s="89">
        <f>'ІІ. Розр. з бюджетом'!G27</f>
        <v>0</v>
      </c>
      <c r="H41" s="89">
        <f>'ІІ. Розр. з бюджетом'!H27</f>
        <v>0</v>
      </c>
      <c r="I41" s="89">
        <f>'ІІ. Розр. з бюджетом'!I27</f>
        <v>0</v>
      </c>
      <c r="J41" s="89">
        <f>'ІІ. Розр. з бюджетом'!J27</f>
        <v>0</v>
      </c>
    </row>
    <row r="42" spans="1:10" ht="37.5">
      <c r="A42" s="71" t="s">
        <v>315</v>
      </c>
      <c r="B42" s="7">
        <v>2120</v>
      </c>
      <c r="C42" s="117">
        <f>'ІІ. Розр. з бюджетом'!C30</f>
        <v>1832</v>
      </c>
      <c r="D42" s="117">
        <f>'ІІ. Розр. з бюджетом'!D30</f>
        <v>2103</v>
      </c>
      <c r="E42" s="117">
        <f>'ІІ. Розр. з бюджетом'!E30</f>
        <v>1832</v>
      </c>
      <c r="F42" s="117">
        <f>'ІІ. Розр. з бюджетом'!F30</f>
        <v>3335</v>
      </c>
      <c r="G42" s="117">
        <f>'ІІ. Розр. з бюджетом'!G30</f>
        <v>786</v>
      </c>
      <c r="H42" s="117">
        <f>'ІІ. Розр. з бюджетом'!H30</f>
        <v>786</v>
      </c>
      <c r="I42" s="117">
        <f>'ІІ. Розр. з бюджетом'!I30</f>
        <v>786</v>
      </c>
      <c r="J42" s="117">
        <f>'ІІ. Розр. з бюджетом'!J30</f>
        <v>977</v>
      </c>
    </row>
    <row r="43" spans="1:10" ht="37.5">
      <c r="A43" s="71" t="s">
        <v>319</v>
      </c>
      <c r="B43" s="7">
        <v>2130</v>
      </c>
      <c r="C43" s="117">
        <f>'ІІ. Розр. з бюджетом'!C35</f>
        <v>5164</v>
      </c>
      <c r="D43" s="117">
        <f>'ІІ. Розр. з бюджетом'!D35</f>
        <v>5398</v>
      </c>
      <c r="E43" s="117">
        <f>'ІІ. Розр. з бюджетом'!E35</f>
        <v>5164</v>
      </c>
      <c r="F43" s="117">
        <f>'ІІ. Розр. з бюджетом'!F35</f>
        <v>5474</v>
      </c>
      <c r="G43" s="117">
        <f>'ІІ. Розр. з бюджетом'!G35</f>
        <v>1368.5</v>
      </c>
      <c r="H43" s="117">
        <f>'ІІ. Розр. з бюджетом'!H35</f>
        <v>1368.5</v>
      </c>
      <c r="I43" s="117">
        <f>'ІІ. Розр. з бюджетом'!I35</f>
        <v>1368.5</v>
      </c>
      <c r="J43" s="117">
        <f>'ІІ. Розр. з бюджетом'!J35</f>
        <v>1368.5</v>
      </c>
    </row>
    <row r="44" spans="1:10" ht="75">
      <c r="A44" s="72" t="s">
        <v>339</v>
      </c>
      <c r="B44" s="7">
        <v>2131</v>
      </c>
      <c r="C44" s="89">
        <f>'ІІ. Розр. з бюджетом'!C36</f>
        <v>0</v>
      </c>
      <c r="D44" s="89">
        <f>'ІІ. Розр. з бюджетом'!D36</f>
        <v>0</v>
      </c>
      <c r="E44" s="89">
        <f>'ІІ. Розр. з бюджетом'!E36</f>
        <v>0</v>
      </c>
      <c r="F44" s="89">
        <f>'ІІ. Розр. з бюджетом'!F36</f>
        <v>0</v>
      </c>
      <c r="G44" s="89">
        <f>'ІІ. Розр. з бюджетом'!G36</f>
        <v>0</v>
      </c>
      <c r="H44" s="89">
        <f>'ІІ. Розр. з бюджетом'!H36</f>
        <v>0</v>
      </c>
      <c r="I44" s="89">
        <f>'ІІ. Розр. з бюджетом'!I36</f>
        <v>0</v>
      </c>
      <c r="J44" s="89">
        <f>'ІІ. Розр. з бюджетом'!J36</f>
        <v>0</v>
      </c>
    </row>
    <row r="45" spans="1:10" ht="37.5">
      <c r="A45" s="72" t="s">
        <v>320</v>
      </c>
      <c r="B45" s="7">
        <v>2133</v>
      </c>
      <c r="C45" s="89">
        <f>'ІІ. Розр. з бюджетом'!C38</f>
        <v>5164</v>
      </c>
      <c r="D45" s="89">
        <f>'ІІ. Розр. з бюджетом'!D38</f>
        <v>5398</v>
      </c>
      <c r="E45" s="89">
        <f>'ІІ. Розр. з бюджетом'!E38</f>
        <v>5164</v>
      </c>
      <c r="F45" s="89">
        <f>'ІІ. Розр. з бюджетом'!F38</f>
        <v>5474</v>
      </c>
      <c r="G45" s="89">
        <f>'ІІ. Розр. з бюджетом'!G38</f>
        <v>1368.5</v>
      </c>
      <c r="H45" s="89">
        <f>'ІІ. Розр. з бюджетом'!H38</f>
        <v>1368.5</v>
      </c>
      <c r="I45" s="89">
        <f>'ІІ. Розр. з бюджетом'!I38</f>
        <v>1368.5</v>
      </c>
      <c r="J45" s="89">
        <f>'ІІ. Розр. з бюджетом'!J38</f>
        <v>1368.5</v>
      </c>
    </row>
    <row r="46" spans="1:10" ht="25.5" customHeight="1">
      <c r="A46" s="71" t="s">
        <v>316</v>
      </c>
      <c r="B46" s="7">
        <v>2200</v>
      </c>
      <c r="C46" s="117">
        <f>'ІІ. Розр. з бюджетом'!C43</f>
        <v>16529</v>
      </c>
      <c r="D46" s="117">
        <f>'ІІ. Розр. з бюджетом'!D43</f>
        <v>13017</v>
      </c>
      <c r="E46" s="117">
        <f>'ІІ. Розр. з бюджетом'!E43</f>
        <v>18049</v>
      </c>
      <c r="F46" s="117">
        <f>'ІІ. Розр. з бюджетом'!F43</f>
        <v>21597.8</v>
      </c>
      <c r="G46" s="117">
        <f>'ІІ. Розр. з бюджетом'!G43</f>
        <v>5393.2</v>
      </c>
      <c r="H46" s="117">
        <f>'ІІ. Розр. з бюджетом'!H43</f>
        <v>5216.6000000000004</v>
      </c>
      <c r="I46" s="117">
        <f>'ІІ. Розр. з бюджетом'!I43</f>
        <v>5255</v>
      </c>
      <c r="J46" s="117">
        <f>'ІІ. Розр. з бюджетом'!J43</f>
        <v>5733</v>
      </c>
    </row>
    <row r="47" spans="1:10" ht="24.95" customHeight="1">
      <c r="A47" s="214" t="s">
        <v>111</v>
      </c>
      <c r="B47" s="215"/>
      <c r="C47" s="214"/>
      <c r="D47" s="214"/>
      <c r="E47" s="214"/>
      <c r="F47" s="214"/>
      <c r="G47" s="214"/>
      <c r="H47" s="214"/>
      <c r="I47" s="214"/>
      <c r="J47" s="214"/>
    </row>
    <row r="48" spans="1:10" ht="20.100000000000001" customHeight="1">
      <c r="A48" s="95" t="s">
        <v>225</v>
      </c>
      <c r="B48" s="9">
        <v>3405</v>
      </c>
      <c r="C48" s="117">
        <f>'ІІІ. Рух грош. коштів'!C69</f>
        <v>1040</v>
      </c>
      <c r="D48" s="117">
        <f>'ІІІ. Рух грош. коштів'!D69</f>
        <v>155</v>
      </c>
      <c r="E48" s="117">
        <f>'ІІІ. Рух грош. коштів'!E69</f>
        <v>180</v>
      </c>
      <c r="F48" s="117">
        <f>'ІІІ. Рух грош. коштів'!F69</f>
        <v>1272</v>
      </c>
      <c r="G48" s="12" t="s">
        <v>152</v>
      </c>
      <c r="H48" s="12" t="s">
        <v>152</v>
      </c>
      <c r="I48" s="12" t="s">
        <v>152</v>
      </c>
      <c r="J48" s="12" t="s">
        <v>152</v>
      </c>
    </row>
    <row r="49" spans="1:10" ht="20.100000000000001" customHeight="1">
      <c r="A49" s="72" t="s">
        <v>311</v>
      </c>
      <c r="B49" s="96">
        <v>3030</v>
      </c>
      <c r="C49" s="89">
        <f>'ІІІ. Рух грош. коштів'!C11</f>
        <v>22302</v>
      </c>
      <c r="D49" s="89">
        <f>'ІІІ. Рух грош. коштів'!D11</f>
        <v>25421</v>
      </c>
      <c r="E49" s="89">
        <f>'ІІІ. Рух грош. коштів'!E11</f>
        <v>22302</v>
      </c>
      <c r="F49" s="89">
        <f>'ІІІ. Рух грош. коштів'!F11</f>
        <v>24246.6</v>
      </c>
      <c r="G49" s="89">
        <f>'ІІІ. Рух грош. коштів'!G11</f>
        <v>6061.8</v>
      </c>
      <c r="H49" s="89">
        <f>'ІІІ. Рух грош. коштів'!H11</f>
        <v>6061</v>
      </c>
      <c r="I49" s="89">
        <f>'ІІІ. Рух грош. коштів'!I11</f>
        <v>6061.8</v>
      </c>
      <c r="J49" s="89">
        <f>'ІІІ. Рух грош. коштів'!J11</f>
        <v>6062</v>
      </c>
    </row>
    <row r="50" spans="1:10" ht="20.100000000000001" customHeight="1">
      <c r="A50" s="72" t="s">
        <v>226</v>
      </c>
      <c r="B50" s="96">
        <v>3195</v>
      </c>
      <c r="C50" s="89">
        <f>'ІІІ. Рух грош. коштів'!C37</f>
        <v>-13227</v>
      </c>
      <c r="D50" s="89">
        <f>'ІІІ. Рух грош. коштів'!D37</f>
        <v>-3230</v>
      </c>
      <c r="E50" s="89">
        <f>'ІІІ. Рух грош. коштів'!E37</f>
        <v>-25439.600000000006</v>
      </c>
      <c r="F50" s="89">
        <f>'ІІІ. Рух грош. коштів'!F37</f>
        <v>-39436.400000000001</v>
      </c>
      <c r="G50" s="12" t="s">
        <v>152</v>
      </c>
      <c r="H50" s="12" t="s">
        <v>152</v>
      </c>
      <c r="I50" s="12" t="s">
        <v>152</v>
      </c>
      <c r="J50" s="12" t="s">
        <v>152</v>
      </c>
    </row>
    <row r="51" spans="1:10" ht="20.100000000000001" customHeight="1">
      <c r="A51" s="72" t="s">
        <v>113</v>
      </c>
      <c r="B51" s="96">
        <v>3295</v>
      </c>
      <c r="C51" s="89">
        <f>'ІІІ. Рух грош. коштів'!C50</f>
        <v>0</v>
      </c>
      <c r="D51" s="89">
        <f>'ІІІ. Рух грош. коштів'!D50</f>
        <v>1562</v>
      </c>
      <c r="E51" s="89">
        <f>'ІІІ. Рух грош. коштів'!E50</f>
        <v>0</v>
      </c>
      <c r="F51" s="89">
        <f>'ІІІ. Рух грош. коштів'!F50</f>
        <v>0</v>
      </c>
      <c r="G51" s="12" t="s">
        <v>152</v>
      </c>
      <c r="H51" s="12" t="s">
        <v>152</v>
      </c>
      <c r="I51" s="12" t="s">
        <v>152</v>
      </c>
      <c r="J51" s="12" t="s">
        <v>152</v>
      </c>
    </row>
    <row r="52" spans="1:10" ht="20.100000000000001" customHeight="1">
      <c r="A52" s="72" t="s">
        <v>227</v>
      </c>
      <c r="B52" s="9">
        <v>3395</v>
      </c>
      <c r="C52" s="89">
        <f>'ІІІ. Рух грош. коштів'!C67</f>
        <v>0</v>
      </c>
      <c r="D52" s="89">
        <f>'ІІІ. Рух грош. коштів'!D67</f>
        <v>0</v>
      </c>
      <c r="E52" s="89">
        <f>'ІІІ. Рух грош. коштів'!E67</f>
        <v>0</v>
      </c>
      <c r="F52" s="89">
        <f>'ІІІ. Рух грош. коштів'!F67</f>
        <v>0</v>
      </c>
      <c r="G52" s="12" t="s">
        <v>152</v>
      </c>
      <c r="H52" s="12" t="s">
        <v>152</v>
      </c>
      <c r="I52" s="12" t="s">
        <v>152</v>
      </c>
      <c r="J52" s="12" t="s">
        <v>152</v>
      </c>
    </row>
    <row r="53" spans="1:10" ht="20.100000000000001" customHeight="1">
      <c r="A53" s="72" t="s">
        <v>116</v>
      </c>
      <c r="B53" s="9">
        <v>3410</v>
      </c>
      <c r="C53" s="89">
        <f>'ІІІ. Рух грош. коштів'!C70</f>
        <v>0</v>
      </c>
      <c r="D53" s="89">
        <f>'ІІІ. Рух грош. коштів'!D70</f>
        <v>0</v>
      </c>
      <c r="E53" s="89">
        <f>'ІІІ. Рух грош. коштів'!E70</f>
        <v>0</v>
      </c>
      <c r="F53" s="89">
        <f>'ІІІ. Рух грош. коштів'!F70</f>
        <v>0</v>
      </c>
      <c r="G53" s="12" t="s">
        <v>152</v>
      </c>
      <c r="H53" s="12" t="s">
        <v>152</v>
      </c>
      <c r="I53" s="12" t="s">
        <v>152</v>
      </c>
      <c r="J53" s="12" t="s">
        <v>152</v>
      </c>
    </row>
    <row r="54" spans="1:10" ht="20.100000000000001" customHeight="1">
      <c r="A54" s="97" t="s">
        <v>228</v>
      </c>
      <c r="B54" s="9">
        <v>3415</v>
      </c>
      <c r="C54" s="122">
        <f>SUM(C48,C50:C53)</f>
        <v>-12187</v>
      </c>
      <c r="D54" s="122">
        <f>SUM(D48,D50:D53)</f>
        <v>-1513</v>
      </c>
      <c r="E54" s="122">
        <f>SUM(E48,E50:E53)</f>
        <v>-25259.600000000006</v>
      </c>
      <c r="F54" s="122">
        <f>SUM(F48,F50:F53)</f>
        <v>-38164.400000000001</v>
      </c>
      <c r="G54" s="12" t="s">
        <v>152</v>
      </c>
      <c r="H54" s="12" t="s">
        <v>152</v>
      </c>
      <c r="I54" s="12" t="s">
        <v>152</v>
      </c>
      <c r="J54" s="12" t="s">
        <v>152</v>
      </c>
    </row>
    <row r="55" spans="1:10" ht="24.95" customHeight="1">
      <c r="A55" s="203" t="s">
        <v>144</v>
      </c>
      <c r="B55" s="204"/>
      <c r="C55" s="204"/>
      <c r="D55" s="204"/>
      <c r="E55" s="204"/>
      <c r="F55" s="204"/>
      <c r="G55" s="204"/>
      <c r="H55" s="204"/>
      <c r="I55" s="204"/>
      <c r="J55" s="205"/>
    </row>
    <row r="56" spans="1:10" ht="20.100000000000001" customHeight="1">
      <c r="A56" s="72" t="s">
        <v>143</v>
      </c>
      <c r="B56" s="9">
        <v>4000</v>
      </c>
      <c r="C56" s="89">
        <f>'IV. Кап. інвестиції'!C6</f>
        <v>231</v>
      </c>
      <c r="D56" s="89">
        <f>'IV. Кап. інвестиції'!D6</f>
        <v>1562</v>
      </c>
      <c r="E56" s="89">
        <f>'IV. Кап. інвестиції'!E6</f>
        <v>231</v>
      </c>
      <c r="F56" s="89">
        <f>'IV. Кап. інвестиції'!F6</f>
        <v>462</v>
      </c>
      <c r="G56" s="89"/>
      <c r="H56" s="89"/>
      <c r="I56" s="89"/>
      <c r="J56" s="89"/>
    </row>
    <row r="57" spans="1:10" ht="24.95" customHeight="1">
      <c r="A57" s="206" t="s">
        <v>147</v>
      </c>
      <c r="B57" s="206"/>
      <c r="C57" s="206"/>
      <c r="D57" s="206"/>
      <c r="E57" s="206"/>
      <c r="F57" s="206"/>
      <c r="G57" s="206"/>
      <c r="H57" s="206"/>
      <c r="I57" s="206"/>
      <c r="J57" s="206"/>
    </row>
    <row r="58" spans="1:10" ht="19.5" customHeight="1">
      <c r="A58" s="98" t="s">
        <v>229</v>
      </c>
      <c r="B58" s="99">
        <v>5040</v>
      </c>
      <c r="C58" s="130">
        <f>(C30/C9)*100</f>
        <v>-37.320214391499569</v>
      </c>
      <c r="D58" s="130">
        <f t="shared" ref="D58:J58" si="5">(D30/D9)*100</f>
        <v>0.51717768747691173</v>
      </c>
      <c r="E58" s="130">
        <f t="shared" si="5"/>
        <v>0.42032968482826877</v>
      </c>
      <c r="F58" s="130">
        <f t="shared" si="5"/>
        <v>0.82232951997581127</v>
      </c>
      <c r="G58" s="130">
        <f t="shared" si="5"/>
        <v>246.06560722963727</v>
      </c>
      <c r="H58" s="130">
        <f t="shared" si="5"/>
        <v>247.22077434511345</v>
      </c>
      <c r="I58" s="130">
        <f t="shared" si="5"/>
        <v>245.50150918638147</v>
      </c>
      <c r="J58" s="130">
        <f t="shared" si="5"/>
        <v>243.95071835034918</v>
      </c>
    </row>
    <row r="59" spans="1:10" ht="20.100000000000001" customHeight="1">
      <c r="A59" s="98" t="s">
        <v>230</v>
      </c>
      <c r="B59" s="99">
        <v>5020</v>
      </c>
      <c r="C59" s="130">
        <f>(C30/C70)*100</f>
        <v>-0.76542373338977554</v>
      </c>
      <c r="D59" s="130">
        <v>0</v>
      </c>
      <c r="E59" s="130">
        <f>(E30/E70)*100</f>
        <v>1.5360067190621022E-2</v>
      </c>
      <c r="F59" s="130">
        <f>(F30/F70)*100</f>
        <v>3.8018435957010981E-2</v>
      </c>
      <c r="G59" s="12" t="s">
        <v>152</v>
      </c>
      <c r="H59" s="12" t="s">
        <v>152</v>
      </c>
      <c r="I59" s="12" t="s">
        <v>152</v>
      </c>
      <c r="J59" s="12" t="s">
        <v>152</v>
      </c>
    </row>
    <row r="60" spans="1:10" ht="20.100000000000001" customHeight="1">
      <c r="A60" s="72" t="s">
        <v>231</v>
      </c>
      <c r="B60" s="6">
        <v>5030</v>
      </c>
      <c r="C60" s="130">
        <f>(C30/C76)*100</f>
        <v>-0.79607779030835424</v>
      </c>
      <c r="D60" s="130">
        <v>0</v>
      </c>
      <c r="E60" s="130">
        <f>(E30/E76)*100</f>
        <v>1.5975214531100363E-2</v>
      </c>
      <c r="F60" s="130">
        <f>(F30/F76)*100</f>
        <v>3.9541016521138964E-2</v>
      </c>
      <c r="G60" s="12" t="s">
        <v>152</v>
      </c>
      <c r="H60" s="12" t="s">
        <v>152</v>
      </c>
      <c r="I60" s="12" t="s">
        <v>152</v>
      </c>
      <c r="J60" s="12" t="s">
        <v>152</v>
      </c>
    </row>
    <row r="61" spans="1:10" ht="20.100000000000001" customHeight="1">
      <c r="A61" s="100" t="s">
        <v>156</v>
      </c>
      <c r="B61" s="101">
        <v>5110</v>
      </c>
      <c r="C61" s="130">
        <f>C76/C73</f>
        <v>18.928877878390949</v>
      </c>
      <c r="D61" s="130">
        <v>0</v>
      </c>
      <c r="E61" s="130">
        <f>E76/E73</f>
        <v>18.928877878390949</v>
      </c>
      <c r="F61" s="130">
        <f>F76/F73</f>
        <v>18.928877878390949</v>
      </c>
      <c r="G61" s="12" t="s">
        <v>152</v>
      </c>
      <c r="H61" s="12" t="s">
        <v>152</v>
      </c>
      <c r="I61" s="12" t="s">
        <v>152</v>
      </c>
      <c r="J61" s="12" t="s">
        <v>152</v>
      </c>
    </row>
    <row r="62" spans="1:10" ht="20.100000000000001" customHeight="1">
      <c r="A62" s="100" t="s">
        <v>232</v>
      </c>
      <c r="B62" s="101">
        <v>5220</v>
      </c>
      <c r="C62" s="130">
        <f>C67/C66</f>
        <v>0.35796062161783715</v>
      </c>
      <c r="D62" s="130">
        <v>0</v>
      </c>
      <c r="E62" s="130">
        <f>E67/E66</f>
        <v>0.35796062161783715</v>
      </c>
      <c r="F62" s="130">
        <f>F67/F66</f>
        <v>0.35796062161783715</v>
      </c>
      <c r="G62" s="12" t="s">
        <v>152</v>
      </c>
      <c r="H62" s="12" t="s">
        <v>152</v>
      </c>
      <c r="I62" s="12" t="s">
        <v>152</v>
      </c>
      <c r="J62" s="12" t="s">
        <v>152</v>
      </c>
    </row>
    <row r="63" spans="1:10" ht="24.95" customHeight="1">
      <c r="A63" s="214" t="s">
        <v>146</v>
      </c>
      <c r="B63" s="214"/>
      <c r="C63" s="214"/>
      <c r="D63" s="214"/>
      <c r="E63" s="214"/>
      <c r="F63" s="214"/>
      <c r="G63" s="214"/>
      <c r="H63" s="214"/>
      <c r="I63" s="214"/>
      <c r="J63" s="214"/>
    </row>
    <row r="64" spans="1:10" ht="20.100000000000001" customHeight="1">
      <c r="A64" s="98" t="s">
        <v>233</v>
      </c>
      <c r="B64" s="99">
        <v>6000</v>
      </c>
      <c r="C64" s="134"/>
      <c r="D64" s="134"/>
      <c r="E64" s="134"/>
      <c r="F64" s="134"/>
      <c r="G64" s="12" t="s">
        <v>152</v>
      </c>
      <c r="H64" s="12" t="s">
        <v>152</v>
      </c>
      <c r="I64" s="12" t="s">
        <v>152</v>
      </c>
      <c r="J64" s="12" t="s">
        <v>152</v>
      </c>
    </row>
    <row r="65" spans="1:10" ht="20.100000000000001" customHeight="1">
      <c r="A65" s="98" t="s">
        <v>340</v>
      </c>
      <c r="B65" s="99">
        <v>6001</v>
      </c>
      <c r="C65" s="94">
        <f>C66-C67</f>
        <v>2072480</v>
      </c>
      <c r="D65" s="94" t="s">
        <v>469</v>
      </c>
      <c r="E65" s="94">
        <f>E66-E67</f>
        <v>2072480</v>
      </c>
      <c r="F65" s="94">
        <f>F66-F67</f>
        <v>2072480</v>
      </c>
      <c r="G65" s="12" t="s">
        <v>152</v>
      </c>
      <c r="H65" s="12" t="s">
        <v>152</v>
      </c>
      <c r="I65" s="12" t="s">
        <v>152</v>
      </c>
      <c r="J65" s="12" t="s">
        <v>152</v>
      </c>
    </row>
    <row r="66" spans="1:10" ht="20.100000000000001" customHeight="1">
      <c r="A66" s="98" t="s">
        <v>234</v>
      </c>
      <c r="B66" s="99">
        <v>6002</v>
      </c>
      <c r="C66" s="134">
        <v>3227964</v>
      </c>
      <c r="D66" s="134" t="s">
        <v>469</v>
      </c>
      <c r="E66" s="134">
        <f>C66</f>
        <v>3227964</v>
      </c>
      <c r="F66" s="134">
        <f>E66</f>
        <v>3227964</v>
      </c>
      <c r="G66" s="12" t="s">
        <v>152</v>
      </c>
      <c r="H66" s="12" t="s">
        <v>152</v>
      </c>
      <c r="I66" s="12" t="s">
        <v>152</v>
      </c>
      <c r="J66" s="12" t="s">
        <v>152</v>
      </c>
    </row>
    <row r="67" spans="1:10" ht="20.100000000000001" customHeight="1">
      <c r="A67" s="98" t="s">
        <v>235</v>
      </c>
      <c r="B67" s="99">
        <v>6003</v>
      </c>
      <c r="C67" s="134">
        <v>1155484</v>
      </c>
      <c r="D67" s="134" t="s">
        <v>469</v>
      </c>
      <c r="E67" s="134">
        <f>C67</f>
        <v>1155484</v>
      </c>
      <c r="F67" s="134">
        <f>E67</f>
        <v>1155484</v>
      </c>
      <c r="G67" s="12" t="s">
        <v>152</v>
      </c>
      <c r="H67" s="12" t="s">
        <v>152</v>
      </c>
      <c r="I67" s="12" t="s">
        <v>152</v>
      </c>
      <c r="J67" s="12" t="s">
        <v>152</v>
      </c>
    </row>
    <row r="68" spans="1:10" ht="20.100000000000001" customHeight="1">
      <c r="A68" s="72" t="s">
        <v>236</v>
      </c>
      <c r="B68" s="6">
        <v>6010</v>
      </c>
      <c r="C68" s="134">
        <v>0</v>
      </c>
      <c r="D68" s="134">
        <v>0</v>
      </c>
      <c r="E68" s="134">
        <v>0</v>
      </c>
      <c r="F68" s="134">
        <v>0</v>
      </c>
      <c r="G68" s="12" t="s">
        <v>152</v>
      </c>
      <c r="H68" s="12" t="s">
        <v>152</v>
      </c>
      <c r="I68" s="12" t="s">
        <v>152</v>
      </c>
      <c r="J68" s="12" t="s">
        <v>152</v>
      </c>
    </row>
    <row r="69" spans="1:10" ht="20.100000000000001" customHeight="1">
      <c r="A69" s="72" t="s">
        <v>341</v>
      </c>
      <c r="B69" s="6">
        <v>6011</v>
      </c>
      <c r="C69" s="134">
        <v>1619</v>
      </c>
      <c r="D69" s="134" t="s">
        <v>469</v>
      </c>
      <c r="E69" s="134">
        <f>C69</f>
        <v>1619</v>
      </c>
      <c r="F69" s="134">
        <f>E69</f>
        <v>1619</v>
      </c>
      <c r="G69" s="12" t="s">
        <v>152</v>
      </c>
      <c r="H69" s="12" t="s">
        <v>152</v>
      </c>
      <c r="I69" s="12" t="s">
        <v>152</v>
      </c>
      <c r="J69" s="12" t="s">
        <v>152</v>
      </c>
    </row>
    <row r="70" spans="1:10" s="5" customFormat="1" ht="20.100000000000001" customHeight="1">
      <c r="A70" s="71" t="s">
        <v>172</v>
      </c>
      <c r="B70" s="6">
        <v>6020</v>
      </c>
      <c r="C70" s="134">
        <f>C65+C69</f>
        <v>2074099</v>
      </c>
      <c r="D70" s="134">
        <v>0</v>
      </c>
      <c r="E70" s="134">
        <f>E65+E69</f>
        <v>2074099</v>
      </c>
      <c r="F70" s="134">
        <f>F65+F69</f>
        <v>2074099</v>
      </c>
      <c r="G70" s="12" t="s">
        <v>152</v>
      </c>
      <c r="H70" s="12" t="s">
        <v>152</v>
      </c>
      <c r="I70" s="12" t="s">
        <v>152</v>
      </c>
      <c r="J70" s="12" t="s">
        <v>152</v>
      </c>
    </row>
    <row r="71" spans="1:10" ht="20.100000000000001" customHeight="1">
      <c r="A71" s="72" t="s">
        <v>117</v>
      </c>
      <c r="B71" s="6">
        <v>6030</v>
      </c>
      <c r="C71" s="134" t="s">
        <v>469</v>
      </c>
      <c r="D71" s="134" t="s">
        <v>469</v>
      </c>
      <c r="E71" s="134" t="s">
        <v>469</v>
      </c>
      <c r="F71" s="134" t="s">
        <v>469</v>
      </c>
      <c r="G71" s="12" t="s">
        <v>152</v>
      </c>
      <c r="H71" s="12" t="s">
        <v>152</v>
      </c>
      <c r="I71" s="12" t="s">
        <v>152</v>
      </c>
      <c r="J71" s="12" t="s">
        <v>152</v>
      </c>
    </row>
    <row r="72" spans="1:10" ht="20.100000000000001" customHeight="1">
      <c r="A72" s="72" t="s">
        <v>118</v>
      </c>
      <c r="B72" s="6">
        <v>6040</v>
      </c>
      <c r="C72" s="134">
        <v>105354</v>
      </c>
      <c r="D72" s="134" t="s">
        <v>469</v>
      </c>
      <c r="E72" s="134">
        <f>C72</f>
        <v>105354</v>
      </c>
      <c r="F72" s="134">
        <f>E72</f>
        <v>105354</v>
      </c>
      <c r="G72" s="12" t="s">
        <v>152</v>
      </c>
      <c r="H72" s="12" t="s">
        <v>152</v>
      </c>
      <c r="I72" s="12" t="s">
        <v>152</v>
      </c>
      <c r="J72" s="12" t="s">
        <v>152</v>
      </c>
    </row>
    <row r="73" spans="1:10" s="5" customFormat="1" ht="20.100000000000001" customHeight="1">
      <c r="A73" s="71" t="s">
        <v>171</v>
      </c>
      <c r="B73" s="6">
        <v>6050</v>
      </c>
      <c r="C73" s="126">
        <f>SUM(C71:C72)</f>
        <v>105354</v>
      </c>
      <c r="D73" s="126">
        <f>SUM(D71:D72)</f>
        <v>0</v>
      </c>
      <c r="E73" s="126">
        <f>SUM(E71:E72)</f>
        <v>105354</v>
      </c>
      <c r="F73" s="126">
        <f>SUM(F71:F72)</f>
        <v>105354</v>
      </c>
      <c r="G73" s="12" t="s">
        <v>152</v>
      </c>
      <c r="H73" s="12" t="s">
        <v>152</v>
      </c>
      <c r="I73" s="12" t="s">
        <v>152</v>
      </c>
      <c r="J73" s="12" t="s">
        <v>152</v>
      </c>
    </row>
    <row r="74" spans="1:10" ht="20.100000000000001" customHeight="1">
      <c r="A74" s="72" t="s">
        <v>342</v>
      </c>
      <c r="B74" s="6">
        <v>6060</v>
      </c>
      <c r="C74" s="134" t="s">
        <v>469</v>
      </c>
      <c r="D74" s="134" t="s">
        <v>469</v>
      </c>
      <c r="E74" s="134">
        <v>0</v>
      </c>
      <c r="F74" s="134">
        <v>0</v>
      </c>
      <c r="G74" s="134">
        <v>0</v>
      </c>
      <c r="H74" s="134">
        <v>0</v>
      </c>
      <c r="I74" s="134">
        <v>0</v>
      </c>
      <c r="J74" s="134">
        <v>0</v>
      </c>
    </row>
    <row r="75" spans="1:10" ht="20.100000000000001" customHeight="1">
      <c r="A75" s="72" t="s">
        <v>343</v>
      </c>
      <c r="B75" s="6">
        <v>6070</v>
      </c>
      <c r="C75" s="134" t="s">
        <v>469</v>
      </c>
      <c r="D75" s="134" t="s">
        <v>469</v>
      </c>
      <c r="E75" s="134">
        <v>0</v>
      </c>
      <c r="F75" s="134">
        <v>0</v>
      </c>
      <c r="G75" s="12" t="s">
        <v>152</v>
      </c>
      <c r="H75" s="12" t="s">
        <v>152</v>
      </c>
      <c r="I75" s="12" t="s">
        <v>152</v>
      </c>
      <c r="J75" s="12" t="s">
        <v>152</v>
      </c>
    </row>
    <row r="76" spans="1:10" s="5" customFormat="1" ht="20.100000000000001" customHeight="1">
      <c r="A76" s="71" t="s">
        <v>109</v>
      </c>
      <c r="B76" s="6">
        <v>6080</v>
      </c>
      <c r="C76" s="134">
        <v>1994233</v>
      </c>
      <c r="D76" s="134">
        <v>0</v>
      </c>
      <c r="E76" s="134">
        <f>C76</f>
        <v>1994233</v>
      </c>
      <c r="F76" s="134">
        <f>E76</f>
        <v>1994233</v>
      </c>
      <c r="G76" s="12" t="s">
        <v>152</v>
      </c>
      <c r="H76" s="12" t="s">
        <v>152</v>
      </c>
      <c r="I76" s="12" t="s">
        <v>152</v>
      </c>
      <c r="J76" s="12" t="s">
        <v>152</v>
      </c>
    </row>
    <row r="77" spans="1:10" s="5" customFormat="1" ht="20.100000000000001" customHeight="1">
      <c r="A77" s="214" t="s">
        <v>237</v>
      </c>
      <c r="B77" s="214"/>
      <c r="C77" s="214"/>
      <c r="D77" s="214"/>
      <c r="E77" s="214"/>
      <c r="F77" s="214"/>
      <c r="G77" s="214"/>
      <c r="H77" s="214"/>
      <c r="I77" s="214"/>
      <c r="J77" s="214"/>
    </row>
    <row r="78" spans="1:10" s="5" customFormat="1" ht="20.100000000000001" customHeight="1">
      <c r="A78" s="95" t="s">
        <v>312</v>
      </c>
      <c r="B78" s="102" t="s">
        <v>238</v>
      </c>
      <c r="C78" s="122">
        <f t="shared" ref="C78:J78" si="6">SUM(C79:C81)</f>
        <v>0</v>
      </c>
      <c r="D78" s="122">
        <f t="shared" si="6"/>
        <v>0</v>
      </c>
      <c r="E78" s="122">
        <f t="shared" si="6"/>
        <v>0</v>
      </c>
      <c r="F78" s="122">
        <f t="shared" si="6"/>
        <v>0</v>
      </c>
      <c r="G78" s="122">
        <f t="shared" si="6"/>
        <v>0</v>
      </c>
      <c r="H78" s="122">
        <f t="shared" si="6"/>
        <v>0</v>
      </c>
      <c r="I78" s="122">
        <f t="shared" si="6"/>
        <v>0</v>
      </c>
      <c r="J78" s="122">
        <f t="shared" si="6"/>
        <v>0</v>
      </c>
    </row>
    <row r="79" spans="1:10" s="5" customFormat="1" ht="20.100000000000001" customHeight="1">
      <c r="A79" s="72" t="s">
        <v>344</v>
      </c>
      <c r="B79" s="103" t="s">
        <v>239</v>
      </c>
      <c r="C79" s="134">
        <v>0</v>
      </c>
      <c r="D79" s="134">
        <v>0</v>
      </c>
      <c r="E79" s="134">
        <v>0</v>
      </c>
      <c r="F79" s="123">
        <f>'6.1. Інша інфо_1'!G59</f>
        <v>0</v>
      </c>
      <c r="G79" s="134">
        <v>0</v>
      </c>
      <c r="H79" s="134">
        <v>0</v>
      </c>
      <c r="I79" s="134">
        <v>0</v>
      </c>
      <c r="J79" s="134">
        <v>0</v>
      </c>
    </row>
    <row r="80" spans="1:10" s="5" customFormat="1" ht="20.100000000000001" customHeight="1">
      <c r="A80" s="72" t="s">
        <v>345</v>
      </c>
      <c r="B80" s="103" t="s">
        <v>240</v>
      </c>
      <c r="C80" s="134">
        <v>0</v>
      </c>
      <c r="D80" s="134">
        <v>0</v>
      </c>
      <c r="E80" s="134">
        <v>0</v>
      </c>
      <c r="F80" s="123">
        <f>'6.1. Інша інфо_1'!G62</f>
        <v>0</v>
      </c>
      <c r="G80" s="134">
        <v>0</v>
      </c>
      <c r="H80" s="134">
        <v>0</v>
      </c>
      <c r="I80" s="134">
        <v>0</v>
      </c>
      <c r="J80" s="134">
        <v>0</v>
      </c>
    </row>
    <row r="81" spans="1:10" s="5" customFormat="1" ht="20.100000000000001" customHeight="1">
      <c r="A81" s="72" t="s">
        <v>346</v>
      </c>
      <c r="B81" s="103" t="s">
        <v>241</v>
      </c>
      <c r="C81" s="134">
        <v>0</v>
      </c>
      <c r="D81" s="134">
        <v>0</v>
      </c>
      <c r="E81" s="134">
        <v>0</v>
      </c>
      <c r="F81" s="123">
        <f>'6.1. Інша інфо_1'!G65</f>
        <v>0</v>
      </c>
      <c r="G81" s="134">
        <v>0</v>
      </c>
      <c r="H81" s="134">
        <v>0</v>
      </c>
      <c r="I81" s="134">
        <v>0</v>
      </c>
      <c r="J81" s="134">
        <v>0</v>
      </c>
    </row>
    <row r="82" spans="1:10" s="5" customFormat="1" ht="20.100000000000001" customHeight="1">
      <c r="A82" s="71" t="s">
        <v>313</v>
      </c>
      <c r="B82" s="103" t="s">
        <v>242</v>
      </c>
      <c r="C82" s="122">
        <f>SUM(C83:C85)</f>
        <v>0</v>
      </c>
      <c r="D82" s="122">
        <f>SUM(D83:D85)</f>
        <v>0</v>
      </c>
      <c r="E82" s="122">
        <f>SUM(E83:E85)</f>
        <v>0</v>
      </c>
      <c r="F82" s="122">
        <f>SUM(F83:F85)</f>
        <v>0</v>
      </c>
      <c r="G82" s="134">
        <v>0</v>
      </c>
      <c r="H82" s="134">
        <v>0</v>
      </c>
      <c r="I82" s="134">
        <v>0</v>
      </c>
      <c r="J82" s="134">
        <v>0</v>
      </c>
    </row>
    <row r="83" spans="1:10" s="5" customFormat="1" ht="20.100000000000001" customHeight="1">
      <c r="A83" s="72" t="s">
        <v>344</v>
      </c>
      <c r="B83" s="103" t="s">
        <v>243</v>
      </c>
      <c r="C83" s="134">
        <v>0</v>
      </c>
      <c r="D83" s="134">
        <v>0</v>
      </c>
      <c r="E83" s="134">
        <v>0</v>
      </c>
      <c r="F83" s="123">
        <f>'6.1. Інша інфо_1'!J59</f>
        <v>0</v>
      </c>
      <c r="G83" s="134">
        <v>0</v>
      </c>
      <c r="H83" s="134">
        <v>0</v>
      </c>
      <c r="I83" s="134">
        <v>0</v>
      </c>
      <c r="J83" s="134">
        <v>0</v>
      </c>
    </row>
    <row r="84" spans="1:10" s="5" customFormat="1" ht="19.5" customHeight="1">
      <c r="A84" s="72" t="s">
        <v>345</v>
      </c>
      <c r="B84" s="103" t="s">
        <v>244</v>
      </c>
      <c r="C84" s="134">
        <v>0</v>
      </c>
      <c r="D84" s="134">
        <v>0</v>
      </c>
      <c r="E84" s="134">
        <v>0</v>
      </c>
      <c r="F84" s="123">
        <f>'6.1. Інша інфо_1'!J62</f>
        <v>0</v>
      </c>
      <c r="G84" s="134">
        <v>0</v>
      </c>
      <c r="H84" s="134">
        <v>0</v>
      </c>
      <c r="I84" s="134">
        <v>0</v>
      </c>
      <c r="J84" s="134">
        <v>0</v>
      </c>
    </row>
    <row r="85" spans="1:10" ht="19.5" customHeight="1">
      <c r="A85" s="100" t="s">
        <v>346</v>
      </c>
      <c r="B85" s="104" t="s">
        <v>245</v>
      </c>
      <c r="C85" s="134">
        <v>0</v>
      </c>
      <c r="D85" s="134">
        <v>0</v>
      </c>
      <c r="E85" s="134">
        <v>0</v>
      </c>
      <c r="F85" s="123">
        <f>'6.1. Інша інфо_1'!J65</f>
        <v>0</v>
      </c>
      <c r="G85" s="134">
        <v>0</v>
      </c>
      <c r="H85" s="134">
        <v>0</v>
      </c>
      <c r="I85" s="134">
        <v>0</v>
      </c>
      <c r="J85" s="134">
        <v>0</v>
      </c>
    </row>
    <row r="86" spans="1:10">
      <c r="A86" s="214" t="s">
        <v>246</v>
      </c>
      <c r="B86" s="214"/>
      <c r="C86" s="214"/>
      <c r="D86" s="214"/>
      <c r="E86" s="214"/>
      <c r="F86" s="214"/>
      <c r="G86" s="214"/>
      <c r="H86" s="214"/>
      <c r="I86" s="214"/>
      <c r="J86" s="214"/>
    </row>
    <row r="87" spans="1:10" s="26" customFormat="1" ht="56.25">
      <c r="A87" s="71" t="s">
        <v>305</v>
      </c>
      <c r="B87" s="103" t="s">
        <v>247</v>
      </c>
      <c r="C87" s="122">
        <f>SUM(C88:C90)</f>
        <v>261</v>
      </c>
      <c r="D87" s="122">
        <f>SUM(D88:D90)</f>
        <v>0</v>
      </c>
      <c r="E87" s="122">
        <f>SUM(E88:E90)</f>
        <v>262</v>
      </c>
      <c r="F87" s="122">
        <f>SUM(F88:F90)</f>
        <v>262</v>
      </c>
      <c r="G87" s="12" t="s">
        <v>152</v>
      </c>
      <c r="H87" s="12" t="s">
        <v>152</v>
      </c>
      <c r="I87" s="12" t="s">
        <v>152</v>
      </c>
      <c r="J87" s="12" t="s">
        <v>152</v>
      </c>
    </row>
    <row r="88" spans="1:10" s="26" customFormat="1">
      <c r="A88" s="8" t="s">
        <v>167</v>
      </c>
      <c r="B88" s="103" t="s">
        <v>248</v>
      </c>
      <c r="C88" s="89">
        <f>'6.1. Інша інфо_1'!D12</f>
        <v>0</v>
      </c>
      <c r="D88" s="89">
        <f>'6.1. Інша інфо_1'!F12</f>
        <v>0</v>
      </c>
      <c r="E88" s="89">
        <f>'6.1. Інша інфо_1'!H12</f>
        <v>1</v>
      </c>
      <c r="F88" s="89">
        <f>'6.1. Інша інфо_1'!J12</f>
        <v>1</v>
      </c>
      <c r="G88" s="12" t="s">
        <v>152</v>
      </c>
      <c r="H88" s="12" t="s">
        <v>152</v>
      </c>
      <c r="I88" s="12" t="s">
        <v>152</v>
      </c>
      <c r="J88" s="12" t="s">
        <v>152</v>
      </c>
    </row>
    <row r="89" spans="1:10" s="26" customFormat="1">
      <c r="A89" s="8" t="s">
        <v>177</v>
      </c>
      <c r="B89" s="103" t="s">
        <v>249</v>
      </c>
      <c r="C89" s="89">
        <f>'6.1. Інша інфо_1'!D13</f>
        <v>34</v>
      </c>
      <c r="D89" s="89">
        <f>'6.1. Інша інфо_1'!F13</f>
        <v>0</v>
      </c>
      <c r="E89" s="89">
        <f>'6.1. Інша інфо_1'!H13</f>
        <v>34</v>
      </c>
      <c r="F89" s="89">
        <f>'6.1. Інша інфо_1'!J13</f>
        <v>34</v>
      </c>
      <c r="G89" s="12" t="s">
        <v>152</v>
      </c>
      <c r="H89" s="12" t="s">
        <v>152</v>
      </c>
      <c r="I89" s="12" t="s">
        <v>152</v>
      </c>
      <c r="J89" s="12" t="s">
        <v>152</v>
      </c>
    </row>
    <row r="90" spans="1:10" s="26" customFormat="1">
      <c r="A90" s="8" t="s">
        <v>168</v>
      </c>
      <c r="B90" s="103" t="s">
        <v>250</v>
      </c>
      <c r="C90" s="89">
        <f>'6.1. Інша інфо_1'!D14</f>
        <v>227</v>
      </c>
      <c r="D90" s="89">
        <f>'6.1. Інша інфо_1'!F14</f>
        <v>0</v>
      </c>
      <c r="E90" s="89">
        <f>'6.1. Інша інфо_1'!H14</f>
        <v>227</v>
      </c>
      <c r="F90" s="89">
        <f>'6.1. Інша інфо_1'!J14</f>
        <v>227</v>
      </c>
      <c r="G90" s="12" t="s">
        <v>152</v>
      </c>
      <c r="H90" s="12" t="s">
        <v>152</v>
      </c>
      <c r="I90" s="12" t="s">
        <v>152</v>
      </c>
      <c r="J90" s="12" t="s">
        <v>152</v>
      </c>
    </row>
    <row r="91" spans="1:10" s="26" customFormat="1">
      <c r="A91" s="71" t="s">
        <v>5</v>
      </c>
      <c r="B91" s="103" t="s">
        <v>251</v>
      </c>
      <c r="C91" s="122">
        <f>'I. Фін результат'!C94</f>
        <v>22165</v>
      </c>
      <c r="D91" s="122">
        <f>'I. Фін результат'!D94</f>
        <v>31919</v>
      </c>
      <c r="E91" s="122">
        <f>'I. Фін результат'!E94</f>
        <v>23273.25</v>
      </c>
      <c r="F91" s="122">
        <f>'I. Фін результат'!F94</f>
        <v>27668</v>
      </c>
      <c r="G91" s="12" t="s">
        <v>152</v>
      </c>
      <c r="H91" s="12" t="s">
        <v>152</v>
      </c>
      <c r="I91" s="12" t="s">
        <v>152</v>
      </c>
      <c r="J91" s="12" t="s">
        <v>152</v>
      </c>
    </row>
    <row r="92" spans="1:10" s="26" customFormat="1" ht="37.5">
      <c r="A92" s="71" t="s">
        <v>347</v>
      </c>
      <c r="B92" s="103" t="s">
        <v>252</v>
      </c>
      <c r="C92" s="132">
        <f>'6.1. Інша інфо_1'!D23</f>
        <v>7076.9476372924655</v>
      </c>
      <c r="D92" s="132">
        <f>'6.1. Інша інфо_1'!F23</f>
        <v>0</v>
      </c>
      <c r="E92" s="132">
        <f>'6.1. Інша інфо_1'!H23</f>
        <v>7402.4332061068708</v>
      </c>
      <c r="F92" s="132">
        <f>'6.1. Інша інфо_1'!J23</f>
        <v>8800.2544529262086</v>
      </c>
      <c r="G92" s="12" t="s">
        <v>152</v>
      </c>
      <c r="H92" s="12" t="s">
        <v>152</v>
      </c>
      <c r="I92" s="12" t="s">
        <v>152</v>
      </c>
      <c r="J92" s="12" t="s">
        <v>152</v>
      </c>
    </row>
    <row r="93" spans="1:10" s="26" customFormat="1">
      <c r="A93" s="8" t="s">
        <v>167</v>
      </c>
      <c r="B93" s="103" t="s">
        <v>253</v>
      </c>
      <c r="C93" s="131">
        <f>'6.1. Інша інфо_1'!D24</f>
        <v>0</v>
      </c>
      <c r="D93" s="131">
        <f>'6.1. Інша інфо_1'!F24</f>
        <v>0</v>
      </c>
      <c r="E93" s="131">
        <f>'6.1. Інша інфо_1'!H24</f>
        <v>21175</v>
      </c>
      <c r="F93" s="131">
        <f>'6.1. Інша інфо_1'!J24</f>
        <v>23308.333333333332</v>
      </c>
      <c r="G93" s="12" t="s">
        <v>152</v>
      </c>
      <c r="H93" s="12" t="s">
        <v>152</v>
      </c>
      <c r="I93" s="12" t="s">
        <v>152</v>
      </c>
      <c r="J93" s="12" t="s">
        <v>152</v>
      </c>
    </row>
    <row r="94" spans="1:10" s="26" customFormat="1">
      <c r="A94" s="8" t="s">
        <v>177</v>
      </c>
      <c r="B94" s="103" t="s">
        <v>254</v>
      </c>
      <c r="C94" s="131">
        <f>'6.1. Інша інфо_1'!D25</f>
        <v>7134.8039215686285</v>
      </c>
      <c r="D94" s="131">
        <f>'6.1. Інша інфо_1'!F25</f>
        <v>0</v>
      </c>
      <c r="E94" s="131">
        <f>'6.1. Інша інфо_1'!H25</f>
        <v>8558.823529411764</v>
      </c>
      <c r="F94" s="131">
        <f>'6.1. Інша інфо_1'!J25</f>
        <v>11757.35294117647</v>
      </c>
      <c r="G94" s="12" t="s">
        <v>152</v>
      </c>
      <c r="H94" s="12" t="s">
        <v>152</v>
      </c>
      <c r="I94" s="12" t="s">
        <v>152</v>
      </c>
      <c r="J94" s="12" t="s">
        <v>152</v>
      </c>
    </row>
    <row r="95" spans="1:10" s="26" customFormat="1">
      <c r="A95" s="8" t="s">
        <v>168</v>
      </c>
      <c r="B95" s="103" t="s">
        <v>255</v>
      </c>
      <c r="C95" s="131">
        <f>'6.1. Інша інфо_1'!D26</f>
        <v>7071.2187958883997</v>
      </c>
      <c r="D95" s="131">
        <f>'6.1. Інша інфо_1'!F26</f>
        <v>0</v>
      </c>
      <c r="E95" s="131">
        <f>'6.1. Інша інфо_1'!H26</f>
        <v>7423.2745961820856</v>
      </c>
      <c r="F95" s="131">
        <f>'6.1. Інша інфо_1'!J26</f>
        <v>8293.4287812041111</v>
      </c>
      <c r="G95" s="12" t="s">
        <v>152</v>
      </c>
      <c r="H95" s="12" t="s">
        <v>152</v>
      </c>
      <c r="I95" s="12" t="s">
        <v>152</v>
      </c>
      <c r="J95" s="12" t="s">
        <v>152</v>
      </c>
    </row>
    <row r="96" spans="1:10" s="26" customFormat="1">
      <c r="A96" s="61"/>
      <c r="C96" s="53"/>
      <c r="D96" s="62"/>
      <c r="E96" s="62"/>
      <c r="F96" s="62"/>
      <c r="G96" s="33"/>
      <c r="H96" s="33"/>
      <c r="I96" s="33"/>
      <c r="J96" s="33"/>
    </row>
    <row r="97" spans="1:10" s="26" customFormat="1" ht="20.25">
      <c r="A97" s="178" t="s">
        <v>480</v>
      </c>
      <c r="B97" s="1"/>
      <c r="C97" s="211"/>
      <c r="D97" s="212"/>
      <c r="E97" s="212"/>
      <c r="F97" s="212"/>
      <c r="G97" s="14"/>
      <c r="H97" s="213" t="s">
        <v>462</v>
      </c>
      <c r="I97" s="213"/>
      <c r="J97" s="213"/>
    </row>
    <row r="98" spans="1:10" s="26" customFormat="1">
      <c r="B98" s="3"/>
      <c r="C98" s="209"/>
      <c r="D98" s="209"/>
      <c r="E98" s="209"/>
      <c r="F98" s="209"/>
      <c r="G98" s="28"/>
      <c r="H98" s="210"/>
      <c r="I98" s="210"/>
      <c r="J98" s="210"/>
    </row>
    <row r="99" spans="1:10" s="26" customFormat="1">
      <c r="A99" s="29" t="s">
        <v>463</v>
      </c>
      <c r="F99" s="3"/>
      <c r="G99" s="3"/>
      <c r="H99" s="3"/>
      <c r="I99" s="3"/>
      <c r="J99" s="3"/>
    </row>
    <row r="100" spans="1:10" s="26" customFormat="1">
      <c r="A100" s="49"/>
      <c r="F100" s="3"/>
      <c r="G100" s="3"/>
      <c r="H100" s="3"/>
      <c r="I100" s="3"/>
      <c r="J100" s="3"/>
    </row>
    <row r="101" spans="1:10" s="26" customFormat="1">
      <c r="A101" s="49"/>
      <c r="F101" s="3"/>
      <c r="G101" s="3"/>
      <c r="H101" s="3"/>
      <c r="I101" s="3"/>
      <c r="J101" s="3"/>
    </row>
    <row r="102" spans="1:10" s="26" customFormat="1">
      <c r="A102" s="49"/>
      <c r="F102" s="3"/>
      <c r="G102" s="3"/>
      <c r="H102" s="3"/>
      <c r="I102" s="3"/>
      <c r="J102" s="3"/>
    </row>
    <row r="103" spans="1:10" s="26" customFormat="1">
      <c r="A103" s="49"/>
      <c r="F103" s="3"/>
      <c r="G103" s="3"/>
      <c r="H103" s="3"/>
      <c r="I103" s="3"/>
      <c r="J103" s="3"/>
    </row>
    <row r="104" spans="1:10" s="26" customFormat="1">
      <c r="A104" s="49"/>
      <c r="F104" s="3"/>
      <c r="G104" s="3"/>
      <c r="H104" s="3"/>
      <c r="I104" s="3"/>
      <c r="J104" s="3"/>
    </row>
    <row r="105" spans="1:10" s="26" customFormat="1">
      <c r="A105" s="49"/>
      <c r="F105" s="3"/>
      <c r="G105" s="3"/>
      <c r="H105" s="3"/>
      <c r="I105" s="3"/>
      <c r="J105" s="3"/>
    </row>
    <row r="106" spans="1:10" s="26" customFormat="1">
      <c r="A106" s="49"/>
      <c r="F106" s="3"/>
      <c r="G106" s="3"/>
      <c r="H106" s="3"/>
      <c r="I106" s="3"/>
      <c r="J106" s="3"/>
    </row>
    <row r="107" spans="1:10" s="26" customFormat="1">
      <c r="A107" s="49"/>
      <c r="F107" s="3"/>
      <c r="G107" s="3"/>
      <c r="H107" s="3"/>
      <c r="I107" s="3"/>
      <c r="J107" s="3"/>
    </row>
    <row r="108" spans="1:10" s="26" customFormat="1">
      <c r="A108" s="49"/>
      <c r="F108" s="3"/>
      <c r="G108" s="3"/>
      <c r="H108" s="3"/>
      <c r="I108" s="3"/>
      <c r="J108" s="3"/>
    </row>
    <row r="109" spans="1:10" s="26" customFormat="1">
      <c r="A109" s="49"/>
      <c r="F109" s="3"/>
      <c r="G109" s="3"/>
      <c r="H109" s="3"/>
      <c r="I109" s="3"/>
      <c r="J109" s="3"/>
    </row>
    <row r="110" spans="1:10" s="26" customFormat="1">
      <c r="A110" s="49"/>
      <c r="F110" s="3"/>
      <c r="G110" s="3"/>
      <c r="H110" s="3"/>
      <c r="I110" s="3"/>
      <c r="J110" s="3"/>
    </row>
    <row r="111" spans="1:10" s="26" customFormat="1">
      <c r="A111" s="49"/>
      <c r="F111" s="3"/>
      <c r="G111" s="3"/>
      <c r="H111" s="3"/>
      <c r="I111" s="3"/>
      <c r="J111" s="3"/>
    </row>
    <row r="112" spans="1:10" s="26" customFormat="1">
      <c r="A112" s="49"/>
      <c r="F112" s="3"/>
      <c r="G112" s="3"/>
      <c r="H112" s="3"/>
      <c r="I112" s="3"/>
      <c r="J112" s="3"/>
    </row>
    <row r="113" spans="1:10" s="26" customFormat="1">
      <c r="A113" s="49"/>
      <c r="F113" s="3"/>
      <c r="G113" s="3"/>
      <c r="H113" s="3"/>
      <c r="I113" s="3"/>
      <c r="J113" s="3"/>
    </row>
    <row r="114" spans="1:10" s="26" customFormat="1">
      <c r="A114" s="49"/>
      <c r="F114" s="3"/>
      <c r="G114" s="3"/>
      <c r="H114" s="3"/>
      <c r="I114" s="3"/>
      <c r="J114" s="3"/>
    </row>
    <row r="115" spans="1:10" s="26" customFormat="1">
      <c r="A115" s="49"/>
      <c r="F115" s="3"/>
      <c r="G115" s="3"/>
      <c r="H115" s="3"/>
      <c r="I115" s="3"/>
      <c r="J115" s="3"/>
    </row>
    <row r="116" spans="1:10" s="26" customFormat="1">
      <c r="A116" s="49"/>
      <c r="F116" s="3"/>
      <c r="G116" s="3"/>
      <c r="H116" s="3"/>
      <c r="I116" s="3"/>
      <c r="J116" s="3"/>
    </row>
    <row r="117" spans="1:10" s="26" customFormat="1">
      <c r="A117" s="49"/>
      <c r="F117" s="3"/>
      <c r="G117" s="3"/>
      <c r="H117" s="3"/>
      <c r="I117" s="3"/>
      <c r="J117" s="3"/>
    </row>
    <row r="118" spans="1:10" s="26" customFormat="1">
      <c r="A118" s="49"/>
      <c r="F118" s="3"/>
      <c r="G118" s="3"/>
      <c r="H118" s="3"/>
      <c r="I118" s="3"/>
      <c r="J118" s="3"/>
    </row>
    <row r="119" spans="1:10" s="26" customFormat="1">
      <c r="A119" s="49"/>
      <c r="F119" s="3"/>
      <c r="G119" s="3"/>
      <c r="H119" s="3"/>
      <c r="I119" s="3"/>
      <c r="J119" s="3"/>
    </row>
    <row r="120" spans="1:10" s="26" customFormat="1">
      <c r="A120" s="49"/>
      <c r="F120" s="3"/>
      <c r="G120" s="3"/>
      <c r="H120" s="3"/>
      <c r="I120" s="3"/>
      <c r="J120" s="3"/>
    </row>
    <row r="121" spans="1:10" s="26" customFormat="1">
      <c r="A121" s="49"/>
      <c r="F121" s="3"/>
      <c r="G121" s="3"/>
      <c r="H121" s="3"/>
      <c r="I121" s="3"/>
      <c r="J121" s="3"/>
    </row>
    <row r="122" spans="1:10" s="26" customFormat="1">
      <c r="A122" s="49"/>
      <c r="F122" s="3"/>
      <c r="G122" s="3"/>
      <c r="H122" s="3"/>
      <c r="I122" s="3"/>
      <c r="J122" s="3"/>
    </row>
    <row r="123" spans="1:10" s="26" customFormat="1">
      <c r="A123" s="49"/>
      <c r="F123" s="3"/>
      <c r="G123" s="3"/>
      <c r="H123" s="3"/>
      <c r="I123" s="3"/>
      <c r="J123" s="3"/>
    </row>
    <row r="124" spans="1:10" s="26" customFormat="1">
      <c r="A124" s="49"/>
      <c r="F124" s="3"/>
      <c r="G124" s="3"/>
      <c r="H124" s="3"/>
      <c r="I124" s="3"/>
      <c r="J124" s="3"/>
    </row>
    <row r="125" spans="1:10" s="26" customFormat="1">
      <c r="A125" s="49"/>
      <c r="F125" s="3"/>
      <c r="G125" s="3"/>
      <c r="H125" s="3"/>
      <c r="I125" s="3"/>
      <c r="J125" s="3"/>
    </row>
    <row r="126" spans="1:10" s="26" customFormat="1">
      <c r="A126" s="49"/>
      <c r="F126" s="3"/>
      <c r="G126" s="3"/>
      <c r="H126" s="3"/>
      <c r="I126" s="3"/>
      <c r="J126" s="3"/>
    </row>
    <row r="127" spans="1:10" s="26" customFormat="1">
      <c r="A127" s="49"/>
      <c r="F127" s="3"/>
      <c r="G127" s="3"/>
      <c r="H127" s="3"/>
      <c r="I127" s="3"/>
      <c r="J127" s="3"/>
    </row>
    <row r="128" spans="1:10" s="26" customFormat="1">
      <c r="A128" s="49"/>
      <c r="F128" s="3"/>
      <c r="G128" s="3"/>
      <c r="H128" s="3"/>
      <c r="I128" s="3"/>
      <c r="J128" s="3"/>
    </row>
    <row r="129" spans="1:10" s="26" customFormat="1">
      <c r="A129" s="49"/>
      <c r="F129" s="3"/>
      <c r="G129" s="3"/>
      <c r="H129" s="3"/>
      <c r="I129" s="3"/>
      <c r="J129" s="3"/>
    </row>
    <row r="130" spans="1:10" s="26" customFormat="1">
      <c r="A130" s="49"/>
      <c r="F130" s="3"/>
      <c r="G130" s="3"/>
      <c r="H130" s="3"/>
      <c r="I130" s="3"/>
      <c r="J130" s="3"/>
    </row>
    <row r="131" spans="1:10" s="26" customFormat="1">
      <c r="A131" s="49"/>
      <c r="F131" s="3"/>
      <c r="G131" s="3"/>
      <c r="H131" s="3"/>
      <c r="I131" s="3"/>
      <c r="J131" s="3"/>
    </row>
    <row r="132" spans="1:10" s="26" customFormat="1">
      <c r="A132" s="49"/>
      <c r="F132" s="3"/>
      <c r="G132" s="3"/>
      <c r="H132" s="3"/>
      <c r="I132" s="3"/>
      <c r="J132" s="3"/>
    </row>
    <row r="133" spans="1:10" s="26" customFormat="1">
      <c r="A133" s="49"/>
      <c r="F133" s="3"/>
      <c r="G133" s="3"/>
      <c r="H133" s="3"/>
      <c r="I133" s="3"/>
      <c r="J133" s="3"/>
    </row>
    <row r="134" spans="1:10" s="26" customFormat="1">
      <c r="A134" s="49"/>
      <c r="F134" s="3"/>
      <c r="G134" s="3"/>
      <c r="H134" s="3"/>
      <c r="I134" s="3"/>
      <c r="J134" s="3"/>
    </row>
    <row r="135" spans="1:10" s="26" customFormat="1">
      <c r="A135" s="49"/>
      <c r="F135" s="3"/>
      <c r="G135" s="3"/>
      <c r="H135" s="3"/>
      <c r="I135" s="3"/>
      <c r="J135" s="3"/>
    </row>
    <row r="136" spans="1:10" s="26" customFormat="1">
      <c r="A136" s="49"/>
      <c r="F136" s="3"/>
      <c r="G136" s="3"/>
      <c r="H136" s="3"/>
      <c r="I136" s="3"/>
      <c r="J136" s="3"/>
    </row>
    <row r="137" spans="1:10" s="26" customFormat="1">
      <c r="A137" s="49"/>
      <c r="F137" s="3"/>
      <c r="G137" s="3"/>
      <c r="H137" s="3"/>
      <c r="I137" s="3"/>
      <c r="J137" s="3"/>
    </row>
    <row r="138" spans="1:10" s="26" customFormat="1">
      <c r="A138" s="49"/>
      <c r="F138" s="3"/>
      <c r="G138" s="3"/>
      <c r="H138" s="3"/>
      <c r="I138" s="3"/>
      <c r="J138" s="3"/>
    </row>
    <row r="139" spans="1:10" s="26" customFormat="1">
      <c r="A139" s="49"/>
      <c r="F139" s="3"/>
      <c r="G139" s="3"/>
      <c r="H139" s="3"/>
      <c r="I139" s="3"/>
      <c r="J139" s="3"/>
    </row>
    <row r="140" spans="1:10" s="26" customFormat="1">
      <c r="A140" s="49"/>
      <c r="F140" s="3"/>
      <c r="G140" s="3"/>
      <c r="H140" s="3"/>
      <c r="I140" s="3"/>
      <c r="J140" s="3"/>
    </row>
    <row r="141" spans="1:10" s="26" customFormat="1">
      <c r="A141" s="49"/>
      <c r="F141" s="3"/>
      <c r="G141" s="3"/>
      <c r="H141" s="3"/>
      <c r="I141" s="3"/>
      <c r="J141" s="3"/>
    </row>
    <row r="142" spans="1:10" s="26" customFormat="1">
      <c r="A142" s="49"/>
      <c r="F142" s="3"/>
      <c r="G142" s="3"/>
      <c r="H142" s="3"/>
      <c r="I142" s="3"/>
      <c r="J142" s="3"/>
    </row>
    <row r="143" spans="1:10" s="26" customFormat="1">
      <c r="A143" s="49"/>
      <c r="F143" s="3"/>
      <c r="G143" s="3"/>
      <c r="H143" s="3"/>
      <c r="I143" s="3"/>
      <c r="J143" s="3"/>
    </row>
    <row r="144" spans="1:10" s="26" customFormat="1">
      <c r="A144" s="49"/>
      <c r="F144" s="3"/>
      <c r="G144" s="3"/>
      <c r="H144" s="3"/>
      <c r="I144" s="3"/>
      <c r="J144" s="3"/>
    </row>
    <row r="145" spans="1:10" s="26" customFormat="1">
      <c r="A145" s="49"/>
      <c r="F145" s="3"/>
      <c r="G145" s="3"/>
      <c r="H145" s="3"/>
      <c r="I145" s="3"/>
      <c r="J145" s="3"/>
    </row>
    <row r="146" spans="1:10" s="26" customFormat="1">
      <c r="A146" s="49"/>
      <c r="F146" s="3"/>
      <c r="G146" s="3"/>
      <c r="H146" s="3"/>
      <c r="I146" s="3"/>
      <c r="J146" s="3"/>
    </row>
    <row r="147" spans="1:10" s="26" customFormat="1">
      <c r="A147" s="49"/>
      <c r="F147" s="3"/>
      <c r="G147" s="3"/>
      <c r="H147" s="3"/>
      <c r="I147" s="3"/>
      <c r="J147" s="3"/>
    </row>
    <row r="148" spans="1:10" s="26" customFormat="1">
      <c r="A148" s="49"/>
      <c r="F148" s="3"/>
      <c r="G148" s="3"/>
      <c r="H148" s="3"/>
      <c r="I148" s="3"/>
      <c r="J148" s="3"/>
    </row>
    <row r="149" spans="1:10" s="26" customFormat="1">
      <c r="A149" s="49"/>
      <c r="F149" s="3"/>
      <c r="G149" s="3"/>
      <c r="H149" s="3"/>
      <c r="I149" s="3"/>
      <c r="J149" s="3"/>
    </row>
    <row r="150" spans="1:10" s="26" customFormat="1">
      <c r="A150" s="49"/>
      <c r="F150" s="3"/>
      <c r="G150" s="3"/>
      <c r="H150" s="3"/>
      <c r="I150" s="3"/>
      <c r="J150" s="3"/>
    </row>
    <row r="151" spans="1:10" s="26" customFormat="1">
      <c r="A151" s="49"/>
      <c r="F151" s="3"/>
      <c r="G151" s="3"/>
      <c r="H151" s="3"/>
      <c r="I151" s="3"/>
      <c r="J151" s="3"/>
    </row>
    <row r="152" spans="1:10" s="26" customFormat="1">
      <c r="A152" s="49"/>
      <c r="F152" s="3"/>
      <c r="G152" s="3"/>
      <c r="H152" s="3"/>
      <c r="I152" s="3"/>
      <c r="J152" s="3"/>
    </row>
    <row r="153" spans="1:10" s="26" customFormat="1">
      <c r="A153" s="49"/>
      <c r="F153" s="3"/>
      <c r="G153" s="3"/>
      <c r="H153" s="3"/>
      <c r="I153" s="3"/>
      <c r="J153" s="3"/>
    </row>
    <row r="154" spans="1:10" s="26" customFormat="1">
      <c r="A154" s="49"/>
      <c r="F154" s="3"/>
      <c r="G154" s="3"/>
      <c r="H154" s="3"/>
      <c r="I154" s="3"/>
      <c r="J154" s="3"/>
    </row>
    <row r="155" spans="1:10" s="26" customFormat="1">
      <c r="A155" s="49"/>
      <c r="F155" s="3"/>
      <c r="G155" s="3"/>
      <c r="H155" s="3"/>
      <c r="I155" s="3"/>
      <c r="J155" s="3"/>
    </row>
    <row r="156" spans="1:10" s="26" customFormat="1">
      <c r="A156" s="49"/>
      <c r="F156" s="3"/>
      <c r="G156" s="3"/>
      <c r="H156" s="3"/>
      <c r="I156" s="3"/>
      <c r="J156" s="3"/>
    </row>
    <row r="157" spans="1:10" s="26" customFormat="1">
      <c r="A157" s="49"/>
      <c r="F157" s="3"/>
      <c r="G157" s="3"/>
      <c r="H157" s="3"/>
      <c r="I157" s="3"/>
      <c r="J157" s="3"/>
    </row>
    <row r="158" spans="1:10" s="26" customFormat="1">
      <c r="A158" s="49"/>
      <c r="F158" s="3"/>
      <c r="G158" s="3"/>
      <c r="H158" s="3"/>
      <c r="I158" s="3"/>
      <c r="J158" s="3"/>
    </row>
    <row r="159" spans="1:10" s="26" customFormat="1">
      <c r="A159" s="49"/>
      <c r="F159" s="3"/>
      <c r="G159" s="3"/>
      <c r="H159" s="3"/>
      <c r="I159" s="3"/>
      <c r="J159" s="3"/>
    </row>
    <row r="160" spans="1:10" s="26" customFormat="1">
      <c r="A160" s="49"/>
      <c r="F160" s="3"/>
      <c r="G160" s="3"/>
      <c r="H160" s="3"/>
      <c r="I160" s="3"/>
      <c r="J160" s="3"/>
    </row>
    <row r="161" spans="1:10" s="26" customFormat="1">
      <c r="A161" s="49"/>
      <c r="F161" s="3"/>
      <c r="G161" s="3"/>
      <c r="H161" s="3"/>
      <c r="I161" s="3"/>
      <c r="J161" s="3"/>
    </row>
    <row r="162" spans="1:10" s="26" customFormat="1">
      <c r="A162" s="49"/>
      <c r="F162" s="3"/>
      <c r="G162" s="3"/>
      <c r="H162" s="3"/>
      <c r="I162" s="3"/>
      <c r="J162" s="3"/>
    </row>
    <row r="163" spans="1:10" s="26" customFormat="1">
      <c r="A163" s="49"/>
      <c r="F163" s="3"/>
      <c r="G163" s="3"/>
      <c r="H163" s="3"/>
      <c r="I163" s="3"/>
      <c r="J163" s="3"/>
    </row>
    <row r="164" spans="1:10" s="26" customFormat="1">
      <c r="A164" s="49"/>
      <c r="F164" s="3"/>
      <c r="G164" s="3"/>
      <c r="H164" s="3"/>
      <c r="I164" s="3"/>
      <c r="J164" s="3"/>
    </row>
    <row r="165" spans="1:10" s="26" customFormat="1">
      <c r="A165" s="49"/>
      <c r="F165" s="3"/>
      <c r="G165" s="3"/>
      <c r="H165" s="3"/>
      <c r="I165" s="3"/>
      <c r="J165" s="3"/>
    </row>
    <row r="166" spans="1:10" s="26" customFormat="1">
      <c r="A166" s="49"/>
      <c r="F166" s="3"/>
      <c r="G166" s="3"/>
      <c r="H166" s="3"/>
      <c r="I166" s="3"/>
      <c r="J166" s="3"/>
    </row>
    <row r="167" spans="1:10" s="26" customFormat="1">
      <c r="A167" s="49"/>
      <c r="F167" s="3"/>
      <c r="G167" s="3"/>
      <c r="H167" s="3"/>
      <c r="I167" s="3"/>
      <c r="J167" s="3"/>
    </row>
    <row r="168" spans="1:10" s="26" customFormat="1">
      <c r="A168" s="49"/>
      <c r="F168" s="3"/>
      <c r="G168" s="3"/>
      <c r="H168" s="3"/>
      <c r="I168" s="3"/>
      <c r="J168" s="3"/>
    </row>
    <row r="169" spans="1:10" s="26" customFormat="1">
      <c r="A169" s="49"/>
      <c r="F169" s="3"/>
      <c r="G169" s="3"/>
      <c r="H169" s="3"/>
      <c r="I169" s="3"/>
      <c r="J169" s="3"/>
    </row>
    <row r="170" spans="1:10" s="26" customFormat="1">
      <c r="A170" s="49"/>
      <c r="F170" s="3"/>
      <c r="G170" s="3"/>
      <c r="H170" s="3"/>
      <c r="I170" s="3"/>
      <c r="J170" s="3"/>
    </row>
    <row r="171" spans="1:10" s="26" customFormat="1">
      <c r="A171" s="49"/>
      <c r="F171" s="3"/>
      <c r="G171" s="3"/>
      <c r="H171" s="3"/>
      <c r="I171" s="3"/>
      <c r="J171" s="3"/>
    </row>
    <row r="172" spans="1:10" s="26" customFormat="1">
      <c r="A172" s="49"/>
      <c r="F172" s="3"/>
      <c r="G172" s="3"/>
      <c r="H172" s="3"/>
      <c r="I172" s="3"/>
      <c r="J172" s="3"/>
    </row>
    <row r="173" spans="1:10" s="26" customFormat="1">
      <c r="A173" s="49"/>
      <c r="F173" s="3"/>
      <c r="G173" s="3"/>
      <c r="H173" s="3"/>
      <c r="I173" s="3"/>
      <c r="J173" s="3"/>
    </row>
    <row r="174" spans="1:10" s="26" customFormat="1">
      <c r="A174" s="49"/>
      <c r="F174" s="3"/>
      <c r="G174" s="3"/>
      <c r="H174" s="3"/>
      <c r="I174" s="3"/>
      <c r="J174" s="3"/>
    </row>
    <row r="175" spans="1:10" s="26" customFormat="1">
      <c r="A175" s="49"/>
      <c r="F175" s="3"/>
      <c r="G175" s="3"/>
      <c r="H175" s="3"/>
      <c r="I175" s="3"/>
      <c r="J175" s="3"/>
    </row>
    <row r="176" spans="1:10" s="26" customFormat="1">
      <c r="A176" s="49"/>
      <c r="F176" s="3"/>
      <c r="G176" s="3"/>
      <c r="H176" s="3"/>
      <c r="I176" s="3"/>
      <c r="J176" s="3"/>
    </row>
    <row r="177" spans="1:10" s="26" customFormat="1">
      <c r="A177" s="49"/>
      <c r="F177" s="3"/>
      <c r="G177" s="3"/>
      <c r="H177" s="3"/>
      <c r="I177" s="3"/>
      <c r="J177" s="3"/>
    </row>
    <row r="178" spans="1:10" s="26" customFormat="1">
      <c r="A178" s="49"/>
      <c r="F178" s="3"/>
      <c r="G178" s="3"/>
      <c r="H178" s="3"/>
      <c r="I178" s="3"/>
      <c r="J178" s="3"/>
    </row>
    <row r="179" spans="1:10" s="26" customFormat="1">
      <c r="A179" s="49"/>
      <c r="F179" s="3"/>
      <c r="G179" s="3"/>
      <c r="H179" s="3"/>
      <c r="I179" s="3"/>
      <c r="J179" s="3"/>
    </row>
    <row r="180" spans="1:10" s="26" customFormat="1">
      <c r="A180" s="49"/>
      <c r="F180" s="3"/>
      <c r="G180" s="3"/>
      <c r="H180" s="3"/>
      <c r="I180" s="3"/>
      <c r="J180" s="3"/>
    </row>
    <row r="181" spans="1:10" s="26" customFormat="1">
      <c r="A181" s="49"/>
      <c r="F181" s="3"/>
      <c r="G181" s="3"/>
      <c r="H181" s="3"/>
      <c r="I181" s="3"/>
      <c r="J181" s="3"/>
    </row>
    <row r="182" spans="1:10" s="26" customFormat="1">
      <c r="A182" s="49"/>
      <c r="F182" s="3"/>
      <c r="G182" s="3"/>
      <c r="H182" s="3"/>
      <c r="I182" s="3"/>
      <c r="J182" s="3"/>
    </row>
    <row r="183" spans="1:10" s="26" customFormat="1">
      <c r="A183" s="49"/>
      <c r="F183" s="3"/>
      <c r="G183" s="3"/>
      <c r="H183" s="3"/>
      <c r="I183" s="3"/>
      <c r="J183" s="3"/>
    </row>
    <row r="184" spans="1:10" s="26" customFormat="1">
      <c r="A184" s="49"/>
      <c r="F184" s="3"/>
      <c r="G184" s="3"/>
      <c r="H184" s="3"/>
      <c r="I184" s="3"/>
      <c r="J184" s="3"/>
    </row>
    <row r="185" spans="1:10" s="26" customFormat="1">
      <c r="A185" s="49"/>
      <c r="F185" s="3"/>
      <c r="G185" s="3"/>
      <c r="H185" s="3"/>
      <c r="I185" s="3"/>
      <c r="J185" s="3"/>
    </row>
    <row r="186" spans="1:10" s="26" customFormat="1">
      <c r="A186" s="49"/>
      <c r="F186" s="3"/>
      <c r="G186" s="3"/>
      <c r="H186" s="3"/>
      <c r="I186" s="3"/>
      <c r="J186" s="3"/>
    </row>
    <row r="187" spans="1:10" s="26" customFormat="1">
      <c r="A187" s="49"/>
      <c r="F187" s="3"/>
      <c r="G187" s="3"/>
      <c r="H187" s="3"/>
      <c r="I187" s="3"/>
      <c r="J187" s="3"/>
    </row>
    <row r="188" spans="1:10" s="26" customFormat="1">
      <c r="A188" s="49"/>
      <c r="F188" s="3"/>
      <c r="G188" s="3"/>
      <c r="H188" s="3"/>
      <c r="I188" s="3"/>
      <c r="J188" s="3"/>
    </row>
    <row r="189" spans="1:10" s="26" customFormat="1">
      <c r="A189" s="49"/>
      <c r="F189" s="3"/>
      <c r="G189" s="3"/>
      <c r="H189" s="3"/>
      <c r="I189" s="3"/>
      <c r="J189" s="3"/>
    </row>
    <row r="190" spans="1:10" s="26" customFormat="1">
      <c r="A190" s="49"/>
      <c r="F190" s="3"/>
      <c r="G190" s="3"/>
      <c r="H190" s="3"/>
      <c r="I190" s="3"/>
      <c r="J190" s="3"/>
    </row>
    <row r="191" spans="1:10" s="26" customFormat="1">
      <c r="A191" s="49"/>
      <c r="F191" s="3"/>
      <c r="G191" s="3"/>
      <c r="H191" s="3"/>
      <c r="I191" s="3"/>
      <c r="J191" s="3"/>
    </row>
    <row r="192" spans="1:10" s="26" customFormat="1">
      <c r="A192" s="49"/>
      <c r="F192" s="3"/>
      <c r="G192" s="3"/>
      <c r="H192" s="3"/>
      <c r="I192" s="3"/>
      <c r="J192" s="3"/>
    </row>
    <row r="193" spans="1:10" s="26" customFormat="1">
      <c r="A193" s="49"/>
      <c r="F193" s="3"/>
      <c r="G193" s="3"/>
      <c r="H193" s="3"/>
      <c r="I193" s="3"/>
      <c r="J193" s="3"/>
    </row>
    <row r="194" spans="1:10" s="26" customFormat="1">
      <c r="A194" s="49"/>
      <c r="F194" s="3"/>
      <c r="G194" s="3"/>
      <c r="H194" s="3"/>
      <c r="I194" s="3"/>
      <c r="J194" s="3"/>
    </row>
    <row r="195" spans="1:10" s="26" customFormat="1">
      <c r="A195" s="49"/>
      <c r="F195" s="3"/>
      <c r="G195" s="3"/>
      <c r="H195" s="3"/>
      <c r="I195" s="3"/>
      <c r="J195" s="3"/>
    </row>
    <row r="196" spans="1:10" s="26" customFormat="1">
      <c r="A196" s="49"/>
      <c r="F196" s="3"/>
      <c r="G196" s="3"/>
      <c r="H196" s="3"/>
      <c r="I196" s="3"/>
      <c r="J196" s="3"/>
    </row>
    <row r="197" spans="1:10" s="26" customFormat="1">
      <c r="A197" s="49"/>
      <c r="F197" s="3"/>
      <c r="G197" s="3"/>
      <c r="H197" s="3"/>
      <c r="I197" s="3"/>
      <c r="J197" s="3"/>
    </row>
    <row r="198" spans="1:10" s="26" customFormat="1">
      <c r="A198" s="49"/>
      <c r="F198" s="3"/>
      <c r="G198" s="3"/>
      <c r="H198" s="3"/>
      <c r="I198" s="3"/>
      <c r="J198" s="3"/>
    </row>
    <row r="199" spans="1:10" s="26" customFormat="1">
      <c r="A199" s="49"/>
      <c r="F199" s="3"/>
      <c r="G199" s="3"/>
      <c r="H199" s="3"/>
      <c r="I199" s="3"/>
      <c r="J199" s="3"/>
    </row>
    <row r="200" spans="1:10" s="26" customFormat="1">
      <c r="A200" s="49"/>
      <c r="F200" s="3"/>
      <c r="G200" s="3"/>
      <c r="H200" s="3"/>
      <c r="I200" s="3"/>
      <c r="J200" s="3"/>
    </row>
    <row r="201" spans="1:10" s="26" customFormat="1">
      <c r="A201" s="49"/>
      <c r="F201" s="3"/>
      <c r="G201" s="3"/>
      <c r="H201" s="3"/>
      <c r="I201" s="3"/>
      <c r="J201" s="3"/>
    </row>
    <row r="202" spans="1:10" s="26" customFormat="1">
      <c r="A202" s="49"/>
      <c r="F202" s="3"/>
      <c r="G202" s="3"/>
      <c r="H202" s="3"/>
      <c r="I202" s="3"/>
      <c r="J202" s="3"/>
    </row>
    <row r="203" spans="1:10" s="26" customFormat="1">
      <c r="A203" s="49"/>
      <c r="F203" s="3"/>
      <c r="G203" s="3"/>
      <c r="H203" s="3"/>
      <c r="I203" s="3"/>
      <c r="J203" s="3"/>
    </row>
    <row r="204" spans="1:10" s="26" customFormat="1">
      <c r="A204" s="49"/>
      <c r="F204" s="3"/>
      <c r="G204" s="3"/>
      <c r="H204" s="3"/>
      <c r="I204" s="3"/>
      <c r="J204" s="3"/>
    </row>
    <row r="205" spans="1:10" s="26" customFormat="1">
      <c r="A205" s="49"/>
      <c r="F205" s="3"/>
      <c r="G205" s="3"/>
      <c r="H205" s="3"/>
      <c r="I205" s="3"/>
      <c r="J205" s="3"/>
    </row>
    <row r="206" spans="1:10" s="26" customFormat="1">
      <c r="A206" s="49"/>
      <c r="F206" s="3"/>
      <c r="G206" s="3"/>
      <c r="H206" s="3"/>
      <c r="I206" s="3"/>
      <c r="J206" s="3"/>
    </row>
    <row r="207" spans="1:10" s="26" customFormat="1">
      <c r="A207" s="49"/>
      <c r="F207" s="3"/>
      <c r="G207" s="3"/>
      <c r="H207" s="3"/>
      <c r="I207" s="3"/>
      <c r="J207" s="3"/>
    </row>
    <row r="208" spans="1:10" s="26" customFormat="1">
      <c r="A208" s="49"/>
      <c r="F208" s="3"/>
      <c r="G208" s="3"/>
      <c r="H208" s="3"/>
      <c r="I208" s="3"/>
      <c r="J208" s="3"/>
    </row>
    <row r="209" spans="1:10" s="26" customFormat="1">
      <c r="A209" s="49"/>
      <c r="F209" s="3"/>
      <c r="G209" s="3"/>
      <c r="H209" s="3"/>
      <c r="I209" s="3"/>
      <c r="J209" s="3"/>
    </row>
    <row r="210" spans="1:10" s="26" customFormat="1">
      <c r="A210" s="49"/>
      <c r="F210" s="3"/>
      <c r="G210" s="3"/>
      <c r="H210" s="3"/>
      <c r="I210" s="3"/>
      <c r="J210" s="3"/>
    </row>
    <row r="211" spans="1:10" s="26" customFormat="1">
      <c r="A211" s="49"/>
      <c r="F211" s="3"/>
      <c r="G211" s="3"/>
      <c r="H211" s="3"/>
      <c r="I211" s="3"/>
      <c r="J211" s="3"/>
    </row>
    <row r="212" spans="1:10" s="26" customFormat="1">
      <c r="A212" s="49"/>
      <c r="F212" s="3"/>
      <c r="G212" s="3"/>
      <c r="H212" s="3"/>
      <c r="I212" s="3"/>
      <c r="J212" s="3"/>
    </row>
    <row r="213" spans="1:10" s="26" customFormat="1">
      <c r="A213" s="49"/>
      <c r="F213" s="3"/>
      <c r="G213" s="3"/>
      <c r="H213" s="3"/>
      <c r="I213" s="3"/>
      <c r="J213" s="3"/>
    </row>
    <row r="214" spans="1:10" s="26" customFormat="1">
      <c r="A214" s="49"/>
      <c r="F214" s="3"/>
      <c r="G214" s="3"/>
      <c r="H214" s="3"/>
      <c r="I214" s="3"/>
      <c r="J214" s="3"/>
    </row>
    <row r="215" spans="1:10" s="26" customFormat="1">
      <c r="A215" s="49"/>
      <c r="F215" s="3"/>
      <c r="G215" s="3"/>
      <c r="H215" s="3"/>
      <c r="I215" s="3"/>
      <c r="J215" s="3"/>
    </row>
    <row r="216" spans="1:10" s="26" customFormat="1">
      <c r="A216" s="49"/>
      <c r="F216" s="3"/>
      <c r="G216" s="3"/>
      <c r="H216" s="3"/>
      <c r="I216" s="3"/>
      <c r="J216" s="3"/>
    </row>
    <row r="217" spans="1:10" s="26" customFormat="1">
      <c r="A217" s="49"/>
      <c r="F217" s="3"/>
      <c r="G217" s="3"/>
      <c r="H217" s="3"/>
      <c r="I217" s="3"/>
      <c r="J217" s="3"/>
    </row>
    <row r="218" spans="1:10" s="26" customFormat="1">
      <c r="A218" s="49"/>
      <c r="F218" s="3"/>
      <c r="G218" s="3"/>
      <c r="H218" s="3"/>
      <c r="I218" s="3"/>
      <c r="J218" s="3"/>
    </row>
    <row r="219" spans="1:10" s="26" customFormat="1">
      <c r="A219" s="49"/>
      <c r="F219" s="3"/>
      <c r="G219" s="3"/>
      <c r="H219" s="3"/>
      <c r="I219" s="3"/>
      <c r="J219" s="3"/>
    </row>
    <row r="220" spans="1:10" s="26" customFormat="1">
      <c r="A220" s="49"/>
      <c r="F220" s="3"/>
      <c r="G220" s="3"/>
      <c r="H220" s="3"/>
      <c r="I220" s="3"/>
      <c r="J220" s="3"/>
    </row>
    <row r="221" spans="1:10" s="26" customFormat="1">
      <c r="A221" s="49"/>
      <c r="F221" s="3"/>
      <c r="G221" s="3"/>
      <c r="H221" s="3"/>
      <c r="I221" s="3"/>
      <c r="J221" s="3"/>
    </row>
    <row r="222" spans="1:10" s="26" customFormat="1">
      <c r="A222" s="49"/>
      <c r="F222" s="3"/>
      <c r="G222" s="3"/>
      <c r="H222" s="3"/>
      <c r="I222" s="3"/>
      <c r="J222" s="3"/>
    </row>
    <row r="223" spans="1:10" s="26" customFormat="1">
      <c r="A223" s="49"/>
      <c r="F223" s="3"/>
      <c r="G223" s="3"/>
      <c r="H223" s="3"/>
      <c r="I223" s="3"/>
      <c r="J223" s="3"/>
    </row>
    <row r="224" spans="1:10" s="26" customFormat="1">
      <c r="A224" s="49"/>
      <c r="F224" s="3"/>
      <c r="G224" s="3"/>
      <c r="H224" s="3"/>
      <c r="I224" s="3"/>
      <c r="J224" s="3"/>
    </row>
    <row r="225" spans="1:10" s="26" customFormat="1">
      <c r="A225" s="49"/>
      <c r="F225" s="3"/>
      <c r="G225" s="3"/>
      <c r="H225" s="3"/>
      <c r="I225" s="3"/>
      <c r="J225" s="3"/>
    </row>
    <row r="226" spans="1:10" s="26" customFormat="1">
      <c r="A226" s="49"/>
      <c r="F226" s="3"/>
      <c r="G226" s="3"/>
      <c r="H226" s="3"/>
      <c r="I226" s="3"/>
      <c r="J226" s="3"/>
    </row>
    <row r="227" spans="1:10" s="26" customFormat="1">
      <c r="A227" s="49"/>
      <c r="F227" s="3"/>
      <c r="G227" s="3"/>
      <c r="H227" s="3"/>
      <c r="I227" s="3"/>
      <c r="J227" s="3"/>
    </row>
    <row r="228" spans="1:10" s="26" customFormat="1">
      <c r="A228" s="49"/>
      <c r="F228" s="3"/>
      <c r="G228" s="3"/>
      <c r="H228" s="3"/>
      <c r="I228" s="3"/>
      <c r="J228" s="3"/>
    </row>
    <row r="229" spans="1:10" s="26" customFormat="1">
      <c r="A229" s="49"/>
      <c r="F229" s="3"/>
      <c r="G229" s="3"/>
      <c r="H229" s="3"/>
      <c r="I229" s="3"/>
      <c r="J229" s="3"/>
    </row>
    <row r="230" spans="1:10" s="26" customFormat="1">
      <c r="A230" s="49"/>
      <c r="F230" s="3"/>
      <c r="G230" s="3"/>
      <c r="H230" s="3"/>
      <c r="I230" s="3"/>
      <c r="J230" s="3"/>
    </row>
    <row r="231" spans="1:10" s="26" customFormat="1">
      <c r="A231" s="49"/>
      <c r="F231" s="3"/>
      <c r="G231" s="3"/>
      <c r="H231" s="3"/>
      <c r="I231" s="3"/>
      <c r="J231" s="3"/>
    </row>
    <row r="232" spans="1:10" s="26" customFormat="1">
      <c r="A232" s="49"/>
      <c r="F232" s="3"/>
      <c r="G232" s="3"/>
      <c r="H232" s="3"/>
      <c r="I232" s="3"/>
      <c r="J232" s="3"/>
    </row>
    <row r="233" spans="1:10" s="26" customFormat="1">
      <c r="A233" s="49"/>
      <c r="F233" s="3"/>
      <c r="G233" s="3"/>
      <c r="H233" s="3"/>
      <c r="I233" s="3"/>
      <c r="J233" s="3"/>
    </row>
    <row r="234" spans="1:10" s="26" customFormat="1">
      <c r="A234" s="49"/>
      <c r="F234" s="3"/>
      <c r="G234" s="3"/>
      <c r="H234" s="3"/>
      <c r="I234" s="3"/>
      <c r="J234" s="3"/>
    </row>
    <row r="235" spans="1:10" s="26" customFormat="1">
      <c r="A235" s="49"/>
      <c r="F235" s="3"/>
      <c r="G235" s="3"/>
      <c r="H235" s="3"/>
      <c r="I235" s="3"/>
      <c r="J235" s="3"/>
    </row>
    <row r="236" spans="1:10" s="26" customFormat="1">
      <c r="A236" s="49"/>
      <c r="F236" s="3"/>
      <c r="G236" s="3"/>
      <c r="H236" s="3"/>
      <c r="I236" s="3"/>
      <c r="J236" s="3"/>
    </row>
    <row r="237" spans="1:10" s="26" customFormat="1">
      <c r="A237" s="49"/>
      <c r="F237" s="3"/>
      <c r="G237" s="3"/>
      <c r="H237" s="3"/>
      <c r="I237" s="3"/>
      <c r="J237" s="3"/>
    </row>
    <row r="238" spans="1:10" s="26" customFormat="1">
      <c r="A238" s="49"/>
      <c r="F238" s="3"/>
      <c r="G238" s="3"/>
      <c r="H238" s="3"/>
      <c r="I238" s="3"/>
      <c r="J238" s="3"/>
    </row>
    <row r="239" spans="1:10" s="26" customFormat="1">
      <c r="A239" s="49"/>
      <c r="F239" s="3"/>
      <c r="G239" s="3"/>
      <c r="H239" s="3"/>
      <c r="I239" s="3"/>
      <c r="J239" s="3"/>
    </row>
    <row r="240" spans="1:10" s="26" customFormat="1">
      <c r="A240" s="49"/>
      <c r="F240" s="3"/>
      <c r="G240" s="3"/>
      <c r="H240" s="3"/>
      <c r="I240" s="3"/>
      <c r="J240" s="3"/>
    </row>
    <row r="241" spans="1:10" s="26" customFormat="1">
      <c r="A241" s="49"/>
      <c r="F241" s="3"/>
      <c r="G241" s="3"/>
      <c r="H241" s="3"/>
      <c r="I241" s="3"/>
      <c r="J241" s="3"/>
    </row>
    <row r="242" spans="1:10" s="26" customFormat="1">
      <c r="A242" s="49"/>
      <c r="F242" s="3"/>
      <c r="G242" s="3"/>
      <c r="H242" s="3"/>
      <c r="I242" s="3"/>
      <c r="J242" s="3"/>
    </row>
    <row r="243" spans="1:10" s="26" customFormat="1">
      <c r="A243" s="49"/>
      <c r="F243" s="3"/>
      <c r="G243" s="3"/>
      <c r="H243" s="3"/>
      <c r="I243" s="3"/>
      <c r="J243" s="3"/>
    </row>
    <row r="244" spans="1:10" s="26" customFormat="1">
      <c r="A244" s="49"/>
      <c r="F244" s="3"/>
      <c r="G244" s="3"/>
      <c r="H244" s="3"/>
      <c r="I244" s="3"/>
      <c r="J244" s="3"/>
    </row>
    <row r="245" spans="1:10" s="26" customFormat="1">
      <c r="A245" s="49"/>
      <c r="F245" s="3"/>
      <c r="G245" s="3"/>
      <c r="H245" s="3"/>
      <c r="I245" s="3"/>
      <c r="J245" s="3"/>
    </row>
    <row r="246" spans="1:10" s="26" customFormat="1">
      <c r="A246" s="49"/>
      <c r="F246" s="3"/>
      <c r="G246" s="3"/>
      <c r="H246" s="3"/>
      <c r="I246" s="3"/>
      <c r="J246" s="3"/>
    </row>
    <row r="247" spans="1:10" s="26" customFormat="1">
      <c r="A247" s="49"/>
      <c r="F247" s="3"/>
      <c r="G247" s="3"/>
      <c r="H247" s="3"/>
      <c r="I247" s="3"/>
      <c r="J247" s="3"/>
    </row>
    <row r="248" spans="1:10" s="26" customFormat="1">
      <c r="A248" s="49"/>
      <c r="F248" s="3"/>
      <c r="G248" s="3"/>
      <c r="H248" s="3"/>
      <c r="I248" s="3"/>
      <c r="J248" s="3"/>
    </row>
    <row r="249" spans="1:10" s="26" customFormat="1">
      <c r="A249" s="49"/>
      <c r="F249" s="3"/>
      <c r="G249" s="3"/>
      <c r="H249" s="3"/>
      <c r="I249" s="3"/>
      <c r="J249" s="3"/>
    </row>
  </sheetData>
  <mergeCells count="21">
    <mergeCell ref="A86:J86"/>
    <mergeCell ref="A63:J63"/>
    <mergeCell ref="A33:J33"/>
    <mergeCell ref="E5:E6"/>
    <mergeCell ref="D5:D6"/>
    <mergeCell ref="B5:B6"/>
    <mergeCell ref="A77:J77"/>
    <mergeCell ref="A8:J8"/>
    <mergeCell ref="A3:J3"/>
    <mergeCell ref="A1:J1"/>
    <mergeCell ref="G5:J5"/>
    <mergeCell ref="F5:F6"/>
    <mergeCell ref="A55:J55"/>
    <mergeCell ref="A57:J57"/>
    <mergeCell ref="C5:C6"/>
    <mergeCell ref="C98:F98"/>
    <mergeCell ref="H98:J98"/>
    <mergeCell ref="C97:F97"/>
    <mergeCell ref="H97:J97"/>
    <mergeCell ref="A47:J47"/>
    <mergeCell ref="A5:A6"/>
  </mergeCells>
  <phoneticPr fontId="3" type="noConversion"/>
  <pageMargins left="0.98425196850393704" right="0.39370078740157483" top="0.78740157480314965" bottom="0.78740157480314965" header="0.39370078740157483" footer="0.19685039370078741"/>
  <pageSetup paperSize="9" scale="59" orientation="landscape" verticalDpi="300" r:id="rId1"/>
  <headerFooter alignWithMargins="0">
    <oddHeader>&amp;C&amp;"Times New Roman,обычный"&amp;14
&amp;P&amp;R&amp;"Times New Roman,обычный"&amp;14 
Продовження додатка 1</oddHeader>
  </headerFooter>
  <rowBreaks count="1" manualBreakCount="1">
    <brk id="37" max="9" man="1"/>
  </rowBreaks>
  <ignoredErrors>
    <ignoredError sqref="B78:B85 B87:B95" numberStoredAsText="1"/>
    <ignoredError sqref="C73" formulaRange="1"/>
    <ignoredError sqref="F58:J58 E59:F59 E60:F60 E61:F61 E62:F62 C92:F95 C58:E58 C59:C62 C17:F18 G18:J1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J61"/>
  <sheetViews>
    <sheetView view="pageBreakPreview" zoomScale="50" zoomScaleNormal="60" zoomScaleSheetLayoutView="50" workbookViewId="0">
      <selection activeCell="AH36" sqref="AH36"/>
    </sheetView>
  </sheetViews>
  <sheetFormatPr defaultRowHeight="18.75"/>
  <cols>
    <col min="1" max="1" width="8.28515625" style="2" customWidth="1"/>
    <col min="2" max="2" width="28.7109375" style="2" customWidth="1"/>
    <col min="3" max="6" width="11.28515625" style="2" customWidth="1"/>
    <col min="7" max="31" width="11" style="2" customWidth="1"/>
    <col min="32" max="16384" width="9.140625" style="2"/>
  </cols>
  <sheetData>
    <row r="1" spans="1:31" s="153" customFormat="1" ht="26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"/>
      <c r="Q1" s="162"/>
      <c r="R1" s="162"/>
      <c r="S1" s="162"/>
      <c r="T1" s="162"/>
      <c r="U1" s="162"/>
      <c r="V1" s="2"/>
      <c r="W1" s="2"/>
      <c r="X1" s="2"/>
      <c r="Y1" s="2"/>
      <c r="Z1" s="2"/>
      <c r="AA1" s="2"/>
      <c r="AB1" s="327"/>
      <c r="AC1" s="328"/>
      <c r="AD1" s="328"/>
      <c r="AE1" s="328"/>
    </row>
    <row r="2" spans="1:31" s="153" customFormat="1" ht="18.75" customHeight="1">
      <c r="A2" s="2"/>
      <c r="B2" s="163" t="s">
        <v>298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s="153" customFormat="1" ht="26.2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</row>
    <row r="4" spans="1:31" s="153" customFormat="1" ht="41.25" customHeight="1">
      <c r="A4" s="222" t="s">
        <v>37</v>
      </c>
      <c r="B4" s="222" t="s">
        <v>132</v>
      </c>
      <c r="C4" s="289" t="s">
        <v>133</v>
      </c>
      <c r="D4" s="290"/>
      <c r="E4" s="290"/>
      <c r="F4" s="291"/>
      <c r="G4" s="289" t="s">
        <v>205</v>
      </c>
      <c r="H4" s="290"/>
      <c r="I4" s="290"/>
      <c r="J4" s="290"/>
      <c r="K4" s="290"/>
      <c r="L4" s="290"/>
      <c r="M4" s="291"/>
      <c r="N4" s="219" t="s">
        <v>134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1"/>
      <c r="Z4" s="289" t="s">
        <v>307</v>
      </c>
      <c r="AA4" s="290"/>
      <c r="AB4" s="291"/>
      <c r="AC4" s="313" t="s">
        <v>308</v>
      </c>
      <c r="AD4" s="314"/>
      <c r="AE4" s="315"/>
    </row>
    <row r="5" spans="1:31" s="153" customFormat="1" ht="48.75" customHeight="1">
      <c r="A5" s="223"/>
      <c r="B5" s="223"/>
      <c r="C5" s="292"/>
      <c r="D5" s="293"/>
      <c r="E5" s="293"/>
      <c r="F5" s="294"/>
      <c r="G5" s="292"/>
      <c r="H5" s="293"/>
      <c r="I5" s="293"/>
      <c r="J5" s="293"/>
      <c r="K5" s="293"/>
      <c r="L5" s="293"/>
      <c r="M5" s="294"/>
      <c r="N5" s="219" t="s">
        <v>392</v>
      </c>
      <c r="O5" s="220"/>
      <c r="P5" s="220"/>
      <c r="Q5" s="221"/>
      <c r="R5" s="219" t="s">
        <v>383</v>
      </c>
      <c r="S5" s="220"/>
      <c r="T5" s="220"/>
      <c r="U5" s="221"/>
      <c r="V5" s="219" t="s">
        <v>393</v>
      </c>
      <c r="W5" s="220"/>
      <c r="X5" s="220"/>
      <c r="Y5" s="221"/>
      <c r="Z5" s="293"/>
      <c r="AA5" s="293"/>
      <c r="AB5" s="294"/>
      <c r="AC5" s="316"/>
      <c r="AD5" s="317"/>
      <c r="AE5" s="318"/>
    </row>
    <row r="6" spans="1:31" s="153" customFormat="1" ht="27" customHeight="1">
      <c r="A6" s="15">
        <v>1</v>
      </c>
      <c r="B6" s="165">
        <v>2</v>
      </c>
      <c r="C6" s="219">
        <v>3</v>
      </c>
      <c r="D6" s="220"/>
      <c r="E6" s="220"/>
      <c r="F6" s="221"/>
      <c r="G6" s="219">
        <v>4</v>
      </c>
      <c r="H6" s="220"/>
      <c r="I6" s="220"/>
      <c r="J6" s="220"/>
      <c r="K6" s="220"/>
      <c r="L6" s="220"/>
      <c r="M6" s="221"/>
      <c r="N6" s="279">
        <v>5</v>
      </c>
      <c r="O6" s="280"/>
      <c r="P6" s="280"/>
      <c r="Q6" s="281"/>
      <c r="R6" s="279">
        <v>6</v>
      </c>
      <c r="S6" s="280"/>
      <c r="T6" s="280"/>
      <c r="U6" s="281"/>
      <c r="V6" s="279">
        <v>7</v>
      </c>
      <c r="W6" s="280"/>
      <c r="X6" s="280"/>
      <c r="Y6" s="281"/>
      <c r="Z6" s="280">
        <v>8</v>
      </c>
      <c r="AA6" s="280"/>
      <c r="AB6" s="281"/>
      <c r="AC6" s="279">
        <v>9</v>
      </c>
      <c r="AD6" s="280"/>
      <c r="AE6" s="281"/>
    </row>
    <row r="7" spans="1:31" s="153" customFormat="1" ht="28.5" customHeight="1">
      <c r="A7" s="15">
        <v>1</v>
      </c>
      <c r="B7" s="165" t="s">
        <v>472</v>
      </c>
      <c r="C7" s="219" t="s">
        <v>473</v>
      </c>
      <c r="D7" s="220"/>
      <c r="E7" s="220"/>
      <c r="F7" s="221"/>
      <c r="G7" s="252" t="s">
        <v>474</v>
      </c>
      <c r="H7" s="273"/>
      <c r="I7" s="273"/>
      <c r="J7" s="273"/>
      <c r="K7" s="273"/>
      <c r="L7" s="273"/>
      <c r="M7" s="253"/>
      <c r="N7" s="258" t="s">
        <v>469</v>
      </c>
      <c r="O7" s="259"/>
      <c r="P7" s="259"/>
      <c r="Q7" s="260"/>
      <c r="R7" s="258" t="s">
        <v>469</v>
      </c>
      <c r="S7" s="259"/>
      <c r="T7" s="259"/>
      <c r="U7" s="260"/>
      <c r="V7" s="252">
        <f>'I. Фін результат'!F19</f>
        <v>-128</v>
      </c>
      <c r="W7" s="273"/>
      <c r="X7" s="273"/>
      <c r="Y7" s="253"/>
      <c r="Z7" s="298" t="s">
        <v>469</v>
      </c>
      <c r="AA7" s="298"/>
      <c r="AB7" s="247"/>
      <c r="AC7" s="246" t="s">
        <v>469</v>
      </c>
      <c r="AD7" s="298"/>
      <c r="AE7" s="247"/>
    </row>
    <row r="8" spans="1:31" s="153" customFormat="1" ht="20.100000000000001" customHeight="1">
      <c r="A8" s="15"/>
      <c r="B8" s="165"/>
      <c r="C8" s="219"/>
      <c r="D8" s="220"/>
      <c r="E8" s="220"/>
      <c r="F8" s="221"/>
      <c r="G8" s="252"/>
      <c r="H8" s="273"/>
      <c r="I8" s="273"/>
      <c r="J8" s="273"/>
      <c r="K8" s="273"/>
      <c r="L8" s="273"/>
      <c r="M8" s="253"/>
      <c r="N8" s="252"/>
      <c r="O8" s="273"/>
      <c r="P8" s="273"/>
      <c r="Q8" s="253"/>
      <c r="R8" s="252"/>
      <c r="S8" s="273"/>
      <c r="T8" s="273"/>
      <c r="U8" s="253"/>
      <c r="V8" s="252"/>
      <c r="W8" s="273"/>
      <c r="X8" s="273"/>
      <c r="Y8" s="253"/>
      <c r="Z8" s="298" t="s">
        <v>469</v>
      </c>
      <c r="AA8" s="298"/>
      <c r="AB8" s="247"/>
      <c r="AC8" s="246" t="s">
        <v>469</v>
      </c>
      <c r="AD8" s="298"/>
      <c r="AE8" s="247"/>
    </row>
    <row r="9" spans="1:31" s="153" customFormat="1" ht="39" customHeight="1">
      <c r="A9" s="310" t="s">
        <v>41</v>
      </c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2"/>
      <c r="N9" s="263">
        <f>SUM(N7:N8)</f>
        <v>0</v>
      </c>
      <c r="O9" s="323"/>
      <c r="P9" s="323"/>
      <c r="Q9" s="264"/>
      <c r="R9" s="263">
        <f>SUM(R7:R8)</f>
        <v>0</v>
      </c>
      <c r="S9" s="323"/>
      <c r="T9" s="323"/>
      <c r="U9" s="264"/>
      <c r="V9" s="263">
        <f>SUM(V7:V8)</f>
        <v>-128</v>
      </c>
      <c r="W9" s="323"/>
      <c r="X9" s="323"/>
      <c r="Y9" s="264"/>
      <c r="Z9" s="319" t="s">
        <v>469</v>
      </c>
      <c r="AA9" s="319"/>
      <c r="AB9" s="249"/>
      <c r="AC9" s="248" t="s">
        <v>469</v>
      </c>
      <c r="AD9" s="319"/>
      <c r="AE9" s="249"/>
    </row>
    <row r="10" spans="1:31" s="153" customFormat="1" ht="18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6"/>
      <c r="N10" s="36"/>
      <c r="O10" s="36"/>
      <c r="P10" s="36"/>
      <c r="Q10" s="53"/>
      <c r="R10" s="53"/>
      <c r="S10" s="53"/>
      <c r="T10" s="53"/>
      <c r="U10" s="53"/>
      <c r="V10" s="53"/>
      <c r="W10" s="166"/>
      <c r="X10" s="166"/>
      <c r="Y10" s="166"/>
      <c r="Z10" s="166"/>
      <c r="AA10" s="166"/>
      <c r="AB10" s="166"/>
      <c r="AC10" s="166"/>
      <c r="AD10" s="166"/>
      <c r="AE10" s="166"/>
    </row>
    <row r="11" spans="1:31" s="154" customFormat="1" ht="18.75" customHeight="1">
      <c r="A11" s="163"/>
      <c r="B11" s="163" t="s">
        <v>299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s="154" customFormat="1" ht="18.75" customHeight="1">
      <c r="A12" s="163"/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s="153" customFormat="1" ht="39.75" customHeight="1">
      <c r="A13" s="225" t="s">
        <v>37</v>
      </c>
      <c r="B13" s="225" t="s">
        <v>135</v>
      </c>
      <c r="C13" s="202" t="s">
        <v>132</v>
      </c>
      <c r="D13" s="202"/>
      <c r="E13" s="202"/>
      <c r="F13" s="202"/>
      <c r="G13" s="289" t="s">
        <v>205</v>
      </c>
      <c r="H13" s="290"/>
      <c r="I13" s="290"/>
      <c r="J13" s="290"/>
      <c r="K13" s="290"/>
      <c r="L13" s="290"/>
      <c r="M13" s="291"/>
      <c r="N13" s="289" t="s">
        <v>136</v>
      </c>
      <c r="O13" s="290"/>
      <c r="P13" s="291"/>
      <c r="Q13" s="289" t="s">
        <v>134</v>
      </c>
      <c r="R13" s="290"/>
      <c r="S13" s="290"/>
      <c r="T13" s="290"/>
      <c r="U13" s="290"/>
      <c r="V13" s="290"/>
      <c r="W13" s="290"/>
      <c r="X13" s="290"/>
      <c r="Y13" s="291"/>
      <c r="Z13" s="313" t="s">
        <v>307</v>
      </c>
      <c r="AA13" s="314"/>
      <c r="AB13" s="315"/>
      <c r="AC13" s="313" t="s">
        <v>308</v>
      </c>
      <c r="AD13" s="314"/>
      <c r="AE13" s="315"/>
    </row>
    <row r="14" spans="1:31" s="153" customFormat="1" ht="18.75" customHeight="1">
      <c r="A14" s="225"/>
      <c r="B14" s="225"/>
      <c r="C14" s="202"/>
      <c r="D14" s="202"/>
      <c r="E14" s="202"/>
      <c r="F14" s="202"/>
      <c r="G14" s="324"/>
      <c r="H14" s="325"/>
      <c r="I14" s="325"/>
      <c r="J14" s="325"/>
      <c r="K14" s="325"/>
      <c r="L14" s="325"/>
      <c r="M14" s="326"/>
      <c r="N14" s="324"/>
      <c r="O14" s="325"/>
      <c r="P14" s="326"/>
      <c r="Q14" s="202" t="s">
        <v>392</v>
      </c>
      <c r="R14" s="202"/>
      <c r="S14" s="202"/>
      <c r="T14" s="202" t="s">
        <v>383</v>
      </c>
      <c r="U14" s="202"/>
      <c r="V14" s="202"/>
      <c r="W14" s="202" t="s">
        <v>393</v>
      </c>
      <c r="X14" s="202"/>
      <c r="Y14" s="202"/>
      <c r="Z14" s="320"/>
      <c r="AA14" s="321"/>
      <c r="AB14" s="322"/>
      <c r="AC14" s="320"/>
      <c r="AD14" s="321"/>
      <c r="AE14" s="322"/>
    </row>
    <row r="15" spans="1:31" s="153" customFormat="1" ht="27.75" customHeight="1">
      <c r="A15" s="225"/>
      <c r="B15" s="225"/>
      <c r="C15" s="202"/>
      <c r="D15" s="202"/>
      <c r="E15" s="202"/>
      <c r="F15" s="202"/>
      <c r="G15" s="292"/>
      <c r="H15" s="293"/>
      <c r="I15" s="293"/>
      <c r="J15" s="293"/>
      <c r="K15" s="293"/>
      <c r="L15" s="293"/>
      <c r="M15" s="294"/>
      <c r="N15" s="292"/>
      <c r="O15" s="293"/>
      <c r="P15" s="294"/>
      <c r="Q15" s="202"/>
      <c r="R15" s="202"/>
      <c r="S15" s="202"/>
      <c r="T15" s="202"/>
      <c r="U15" s="202"/>
      <c r="V15" s="202"/>
      <c r="W15" s="202"/>
      <c r="X15" s="202"/>
      <c r="Y15" s="202"/>
      <c r="Z15" s="316"/>
      <c r="AA15" s="317"/>
      <c r="AB15" s="318"/>
      <c r="AC15" s="316"/>
      <c r="AD15" s="317"/>
      <c r="AE15" s="318"/>
    </row>
    <row r="16" spans="1:31" s="153" customFormat="1" ht="30" customHeight="1">
      <c r="A16" s="15">
        <v>1</v>
      </c>
      <c r="B16" s="15">
        <v>2</v>
      </c>
      <c r="C16" s="202">
        <v>3</v>
      </c>
      <c r="D16" s="202"/>
      <c r="E16" s="202"/>
      <c r="F16" s="202"/>
      <c r="G16" s="219">
        <v>4</v>
      </c>
      <c r="H16" s="220"/>
      <c r="I16" s="220"/>
      <c r="J16" s="220"/>
      <c r="K16" s="220"/>
      <c r="L16" s="220"/>
      <c r="M16" s="221"/>
      <c r="N16" s="219">
        <v>5</v>
      </c>
      <c r="O16" s="220"/>
      <c r="P16" s="221"/>
      <c r="Q16" s="219">
        <v>6</v>
      </c>
      <c r="R16" s="220"/>
      <c r="S16" s="221"/>
      <c r="T16" s="219">
        <v>7</v>
      </c>
      <c r="U16" s="220"/>
      <c r="V16" s="221"/>
      <c r="W16" s="219">
        <v>8</v>
      </c>
      <c r="X16" s="220"/>
      <c r="Y16" s="221"/>
      <c r="Z16" s="219">
        <v>9</v>
      </c>
      <c r="AA16" s="220"/>
      <c r="AB16" s="221"/>
      <c r="AC16" s="219">
        <v>10</v>
      </c>
      <c r="AD16" s="220"/>
      <c r="AE16" s="221"/>
    </row>
    <row r="17" spans="1:31" s="153" customFormat="1" ht="20.100000000000001" customHeight="1">
      <c r="A17" s="167"/>
      <c r="B17" s="69"/>
      <c r="C17" s="265"/>
      <c r="D17" s="265"/>
      <c r="E17" s="265"/>
      <c r="F17" s="265"/>
      <c r="G17" s="252"/>
      <c r="H17" s="273"/>
      <c r="I17" s="273"/>
      <c r="J17" s="273"/>
      <c r="K17" s="273"/>
      <c r="L17" s="273"/>
      <c r="M17" s="253"/>
      <c r="N17" s="283"/>
      <c r="O17" s="284"/>
      <c r="P17" s="302"/>
      <c r="Q17" s="295"/>
      <c r="R17" s="296"/>
      <c r="S17" s="297"/>
      <c r="T17" s="295"/>
      <c r="U17" s="296"/>
      <c r="V17" s="297"/>
      <c r="W17" s="295"/>
      <c r="X17" s="296"/>
      <c r="Y17" s="297"/>
      <c r="Z17" s="298" t="s">
        <v>469</v>
      </c>
      <c r="AA17" s="298"/>
      <c r="AB17" s="247"/>
      <c r="AC17" s="298" t="s">
        <v>469</v>
      </c>
      <c r="AD17" s="298"/>
      <c r="AE17" s="247"/>
    </row>
    <row r="18" spans="1:31" s="153" customFormat="1" ht="20.100000000000001" customHeight="1">
      <c r="A18" s="167"/>
      <c r="B18" s="69"/>
      <c r="C18" s="265"/>
      <c r="D18" s="265"/>
      <c r="E18" s="265"/>
      <c r="F18" s="265"/>
      <c r="G18" s="252"/>
      <c r="H18" s="273"/>
      <c r="I18" s="273"/>
      <c r="J18" s="273"/>
      <c r="K18" s="273"/>
      <c r="L18" s="273"/>
      <c r="M18" s="253"/>
      <c r="N18" s="283"/>
      <c r="O18" s="284"/>
      <c r="P18" s="302"/>
      <c r="Q18" s="295"/>
      <c r="R18" s="296"/>
      <c r="S18" s="297"/>
      <c r="T18" s="295"/>
      <c r="U18" s="296"/>
      <c r="V18" s="297"/>
      <c r="W18" s="295"/>
      <c r="X18" s="296"/>
      <c r="Y18" s="297"/>
      <c r="Z18" s="298" t="s">
        <v>469</v>
      </c>
      <c r="AA18" s="298"/>
      <c r="AB18" s="247"/>
      <c r="AC18" s="298" t="s">
        <v>469</v>
      </c>
      <c r="AD18" s="298"/>
      <c r="AE18" s="247"/>
    </row>
    <row r="19" spans="1:31" s="153" customFormat="1" ht="33" customHeight="1">
      <c r="A19" s="310" t="s">
        <v>41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2"/>
      <c r="N19" s="310"/>
      <c r="O19" s="311"/>
      <c r="P19" s="312"/>
      <c r="Q19" s="307">
        <f>SUM(Q17:Q18)</f>
        <v>0</v>
      </c>
      <c r="R19" s="308"/>
      <c r="S19" s="309"/>
      <c r="T19" s="307">
        <f>SUM(T17:T18)</f>
        <v>0</v>
      </c>
      <c r="U19" s="308"/>
      <c r="V19" s="309"/>
      <c r="W19" s="307">
        <f>SUM(W17:W18)</f>
        <v>0</v>
      </c>
      <c r="X19" s="308"/>
      <c r="Y19" s="309"/>
      <c r="Z19" s="319" t="s">
        <v>469</v>
      </c>
      <c r="AA19" s="319"/>
      <c r="AB19" s="249"/>
      <c r="AC19" s="319" t="s">
        <v>469</v>
      </c>
      <c r="AD19" s="319"/>
      <c r="AE19" s="249"/>
    </row>
    <row r="20" spans="1:31" s="153" customFormat="1" ht="26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"/>
      <c r="Q20" s="162"/>
      <c r="R20" s="162"/>
      <c r="S20" s="162"/>
      <c r="T20" s="162"/>
      <c r="U20" s="162"/>
      <c r="V20" s="2"/>
      <c r="W20" s="2"/>
      <c r="X20" s="2"/>
      <c r="Y20" s="2"/>
      <c r="Z20" s="2"/>
      <c r="AA20" s="2"/>
      <c r="AB20" s="2"/>
      <c r="AC20" s="2"/>
      <c r="AD20" s="2"/>
      <c r="AE20" s="162"/>
    </row>
    <row r="21" spans="1:31" s="153" customFormat="1" ht="26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"/>
      <c r="Q21" s="162"/>
      <c r="R21" s="162"/>
      <c r="S21" s="162"/>
      <c r="T21" s="162"/>
      <c r="U21" s="162"/>
      <c r="V21" s="2"/>
      <c r="W21" s="2"/>
      <c r="X21" s="2"/>
      <c r="Y21" s="2"/>
      <c r="Z21" s="2"/>
      <c r="AA21" s="2"/>
      <c r="AB21" s="2"/>
      <c r="AC21" s="2"/>
      <c r="AD21" s="2"/>
      <c r="AE21" s="162"/>
    </row>
    <row r="22" spans="1:31" s="154" customFormat="1" ht="18.75" customHeight="1">
      <c r="A22" s="163"/>
      <c r="B22" s="163" t="s">
        <v>148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s="153" customFormat="1" ht="26.25">
      <c r="A23" s="27"/>
      <c r="B23" s="27"/>
      <c r="C23" s="27"/>
      <c r="D23" s="27"/>
      <c r="E23" s="27"/>
      <c r="F23" s="27"/>
      <c r="G23" s="27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27"/>
      <c r="W23" s="2"/>
      <c r="X23" s="2"/>
      <c r="Y23" s="2"/>
      <c r="Z23" s="2"/>
      <c r="AA23" s="2"/>
      <c r="AB23" s="2"/>
      <c r="AC23" s="2"/>
      <c r="AD23" s="2"/>
      <c r="AE23" s="162" t="s">
        <v>370</v>
      </c>
    </row>
    <row r="24" spans="1:31" s="153" customFormat="1" ht="30" customHeight="1">
      <c r="A24" s="202" t="s">
        <v>37</v>
      </c>
      <c r="B24" s="202" t="s">
        <v>160</v>
      </c>
      <c r="C24" s="202"/>
      <c r="D24" s="202"/>
      <c r="E24" s="202"/>
      <c r="F24" s="202"/>
      <c r="G24" s="202" t="s">
        <v>40</v>
      </c>
      <c r="H24" s="202"/>
      <c r="I24" s="202"/>
      <c r="J24" s="202"/>
      <c r="K24" s="202"/>
      <c r="L24" s="202" t="s">
        <v>74</v>
      </c>
      <c r="M24" s="202"/>
      <c r="N24" s="202"/>
      <c r="O24" s="202"/>
      <c r="P24" s="202"/>
      <c r="Q24" s="202" t="s">
        <v>183</v>
      </c>
      <c r="R24" s="202"/>
      <c r="S24" s="202"/>
      <c r="T24" s="202"/>
      <c r="U24" s="202"/>
      <c r="V24" s="202" t="s">
        <v>102</v>
      </c>
      <c r="W24" s="202"/>
      <c r="X24" s="202"/>
      <c r="Y24" s="202"/>
      <c r="Z24" s="202"/>
      <c r="AA24" s="202" t="s">
        <v>41</v>
      </c>
      <c r="AB24" s="202"/>
      <c r="AC24" s="202"/>
      <c r="AD24" s="202"/>
      <c r="AE24" s="202"/>
    </row>
    <row r="25" spans="1:31" s="153" customFormat="1" ht="30" customHeight="1">
      <c r="A25" s="202"/>
      <c r="B25" s="202"/>
      <c r="C25" s="202"/>
      <c r="D25" s="202"/>
      <c r="E25" s="202"/>
      <c r="F25" s="202"/>
      <c r="G25" s="202" t="s">
        <v>475</v>
      </c>
      <c r="H25" s="202" t="s">
        <v>80</v>
      </c>
      <c r="I25" s="202"/>
      <c r="J25" s="202"/>
      <c r="K25" s="202"/>
      <c r="L25" s="202" t="s">
        <v>476</v>
      </c>
      <c r="M25" s="202" t="s">
        <v>80</v>
      </c>
      <c r="N25" s="202"/>
      <c r="O25" s="202"/>
      <c r="P25" s="202"/>
      <c r="Q25" s="202" t="s">
        <v>476</v>
      </c>
      <c r="R25" s="202" t="s">
        <v>80</v>
      </c>
      <c r="S25" s="202"/>
      <c r="T25" s="202"/>
      <c r="U25" s="202"/>
      <c r="V25" s="202" t="s">
        <v>476</v>
      </c>
      <c r="W25" s="202" t="s">
        <v>80</v>
      </c>
      <c r="X25" s="202"/>
      <c r="Y25" s="202"/>
      <c r="Z25" s="202"/>
      <c r="AA25" s="202" t="s">
        <v>67</v>
      </c>
      <c r="AB25" s="202" t="s">
        <v>80</v>
      </c>
      <c r="AC25" s="202"/>
      <c r="AD25" s="202"/>
      <c r="AE25" s="202"/>
    </row>
    <row r="26" spans="1:31" s="153" customFormat="1" ht="39.950000000000003" customHeight="1">
      <c r="A26" s="202"/>
      <c r="B26" s="202"/>
      <c r="C26" s="202"/>
      <c r="D26" s="202"/>
      <c r="E26" s="202"/>
      <c r="F26" s="202"/>
      <c r="G26" s="202"/>
      <c r="H26" s="7" t="s">
        <v>62</v>
      </c>
      <c r="I26" s="7" t="s">
        <v>63</v>
      </c>
      <c r="J26" s="7" t="s">
        <v>61</v>
      </c>
      <c r="K26" s="7" t="s">
        <v>56</v>
      </c>
      <c r="L26" s="202"/>
      <c r="M26" s="7" t="s">
        <v>62</v>
      </c>
      <c r="N26" s="7" t="s">
        <v>63</v>
      </c>
      <c r="O26" s="7" t="s">
        <v>61</v>
      </c>
      <c r="P26" s="7" t="s">
        <v>56</v>
      </c>
      <c r="Q26" s="202"/>
      <c r="R26" s="7" t="s">
        <v>62</v>
      </c>
      <c r="S26" s="7" t="s">
        <v>63</v>
      </c>
      <c r="T26" s="7" t="s">
        <v>61</v>
      </c>
      <c r="U26" s="7" t="s">
        <v>56</v>
      </c>
      <c r="V26" s="202"/>
      <c r="W26" s="7" t="s">
        <v>62</v>
      </c>
      <c r="X26" s="7" t="s">
        <v>63</v>
      </c>
      <c r="Y26" s="7" t="s">
        <v>61</v>
      </c>
      <c r="Z26" s="7" t="s">
        <v>56</v>
      </c>
      <c r="AA26" s="202"/>
      <c r="AB26" s="7" t="s">
        <v>62</v>
      </c>
      <c r="AC26" s="7" t="s">
        <v>63</v>
      </c>
      <c r="AD26" s="7" t="s">
        <v>61</v>
      </c>
      <c r="AE26" s="7" t="s">
        <v>56</v>
      </c>
    </row>
    <row r="27" spans="1:31" s="153" customFormat="1" ht="18" customHeight="1">
      <c r="A27" s="7">
        <v>1</v>
      </c>
      <c r="B27" s="202">
        <v>2</v>
      </c>
      <c r="C27" s="202"/>
      <c r="D27" s="202"/>
      <c r="E27" s="202"/>
      <c r="F27" s="202"/>
      <c r="G27" s="7">
        <v>3</v>
      </c>
      <c r="H27" s="7">
        <v>4</v>
      </c>
      <c r="I27" s="7">
        <v>5</v>
      </c>
      <c r="J27" s="7">
        <v>6</v>
      </c>
      <c r="K27" s="7">
        <v>7</v>
      </c>
      <c r="L27" s="7">
        <v>8</v>
      </c>
      <c r="M27" s="7">
        <v>9</v>
      </c>
      <c r="N27" s="7">
        <v>10</v>
      </c>
      <c r="O27" s="7">
        <v>11</v>
      </c>
      <c r="P27" s="7">
        <v>12</v>
      </c>
      <c r="Q27" s="7">
        <v>13</v>
      </c>
      <c r="R27" s="7">
        <v>14</v>
      </c>
      <c r="S27" s="7">
        <v>15</v>
      </c>
      <c r="T27" s="7">
        <v>16</v>
      </c>
      <c r="U27" s="7">
        <v>17</v>
      </c>
      <c r="V27" s="6">
        <v>18</v>
      </c>
      <c r="W27" s="6">
        <v>19</v>
      </c>
      <c r="X27" s="6">
        <v>20</v>
      </c>
      <c r="Y27" s="6">
        <v>21</v>
      </c>
      <c r="Z27" s="6">
        <v>22</v>
      </c>
      <c r="AA27" s="6">
        <v>23</v>
      </c>
      <c r="AB27" s="6">
        <v>24</v>
      </c>
      <c r="AC27" s="6">
        <v>25</v>
      </c>
      <c r="AD27" s="6">
        <v>26</v>
      </c>
      <c r="AE27" s="6">
        <v>27</v>
      </c>
    </row>
    <row r="28" spans="1:31" s="153" customFormat="1" ht="37.5" customHeight="1">
      <c r="A28" s="150"/>
      <c r="B28" s="303" t="s">
        <v>391</v>
      </c>
      <c r="C28" s="303"/>
      <c r="D28" s="303"/>
      <c r="E28" s="303"/>
      <c r="F28" s="303"/>
      <c r="G28" s="151">
        <f>SUM(H28,I28,J28,K28)</f>
        <v>0</v>
      </c>
      <c r="H28" s="90" t="s">
        <v>469</v>
      </c>
      <c r="I28" s="90" t="s">
        <v>469</v>
      </c>
      <c r="J28" s="90" t="s">
        <v>469</v>
      </c>
      <c r="K28" s="90" t="s">
        <v>469</v>
      </c>
      <c r="L28" s="151">
        <f>SUM(M28,N28,O28,P28)</f>
        <v>400</v>
      </c>
      <c r="M28" s="90">
        <v>100</v>
      </c>
      <c r="N28" s="90">
        <v>100</v>
      </c>
      <c r="O28" s="90">
        <v>100</v>
      </c>
      <c r="P28" s="90">
        <v>100</v>
      </c>
      <c r="Q28" s="151">
        <f>SUM(R28,S28,T28,U28)</f>
        <v>600</v>
      </c>
      <c r="R28" s="90">
        <v>150</v>
      </c>
      <c r="S28" s="90">
        <v>150</v>
      </c>
      <c r="T28" s="90">
        <v>150</v>
      </c>
      <c r="U28" s="90">
        <v>150</v>
      </c>
      <c r="V28" s="151">
        <f>SUM(W28,X28,Y28,Z28)</f>
        <v>0</v>
      </c>
      <c r="W28" s="90"/>
      <c r="X28" s="90"/>
      <c r="Y28" s="90"/>
      <c r="Z28" s="90"/>
      <c r="AA28" s="151">
        <f>SUM(AB28,AC28,AD28,AE28)</f>
        <v>1000</v>
      </c>
      <c r="AB28" s="90">
        <f t="shared" ref="AB28:AE30" si="0">SUM(H28,M28,R28,W28)</f>
        <v>250</v>
      </c>
      <c r="AC28" s="90">
        <f t="shared" si="0"/>
        <v>250</v>
      </c>
      <c r="AD28" s="90">
        <f t="shared" si="0"/>
        <v>250</v>
      </c>
      <c r="AE28" s="90">
        <f t="shared" si="0"/>
        <v>250</v>
      </c>
    </row>
    <row r="29" spans="1:31" s="153" customFormat="1" ht="20.100000000000001" customHeight="1">
      <c r="A29" s="150"/>
      <c r="B29" s="303"/>
      <c r="C29" s="303"/>
      <c r="D29" s="303"/>
      <c r="E29" s="303"/>
      <c r="F29" s="303"/>
      <c r="G29" s="151">
        <f>SUM(H29,I29,J29,K29)</f>
        <v>0</v>
      </c>
      <c r="H29" s="90"/>
      <c r="I29" s="90"/>
      <c r="J29" s="90"/>
      <c r="K29" s="90"/>
      <c r="L29" s="151">
        <f>SUM(M29,N29,O29,P29)</f>
        <v>0</v>
      </c>
      <c r="M29" s="90"/>
      <c r="N29" s="90"/>
      <c r="O29" s="90"/>
      <c r="P29" s="90"/>
      <c r="Q29" s="151">
        <f>SUM(R29,S29,T29,U29)</f>
        <v>0</v>
      </c>
      <c r="R29" s="90"/>
      <c r="S29" s="90"/>
      <c r="T29" s="90"/>
      <c r="U29" s="90"/>
      <c r="V29" s="151">
        <f>SUM(W29,X29,Y29,Z29)</f>
        <v>0</v>
      </c>
      <c r="W29" s="90"/>
      <c r="X29" s="90"/>
      <c r="Y29" s="90"/>
      <c r="Z29" s="90"/>
      <c r="AA29" s="151">
        <f>SUM(AB29,AC29,AD29,AE29)</f>
        <v>0</v>
      </c>
      <c r="AB29" s="90">
        <f t="shared" si="0"/>
        <v>0</v>
      </c>
      <c r="AC29" s="90">
        <f t="shared" si="0"/>
        <v>0</v>
      </c>
      <c r="AD29" s="90">
        <f t="shared" si="0"/>
        <v>0</v>
      </c>
      <c r="AE29" s="90">
        <f t="shared" si="0"/>
        <v>0</v>
      </c>
    </row>
    <row r="30" spans="1:31" s="153" customFormat="1" ht="20.100000000000001" customHeight="1">
      <c r="A30" s="150"/>
      <c r="B30" s="303"/>
      <c r="C30" s="303"/>
      <c r="D30" s="303"/>
      <c r="E30" s="303"/>
      <c r="F30" s="303"/>
      <c r="G30" s="151">
        <f>SUM(H30,I30,J30,K30)</f>
        <v>0</v>
      </c>
      <c r="H30" s="90"/>
      <c r="I30" s="90"/>
      <c r="J30" s="90"/>
      <c r="K30" s="90"/>
      <c r="L30" s="151">
        <f>SUM(M30,N30,O30,P30)</f>
        <v>0</v>
      </c>
      <c r="M30" s="90"/>
      <c r="N30" s="90"/>
      <c r="O30" s="90"/>
      <c r="P30" s="90"/>
      <c r="Q30" s="151">
        <f>SUM(R30,S30,T30,U30)</f>
        <v>0</v>
      </c>
      <c r="R30" s="90"/>
      <c r="S30" s="90"/>
      <c r="T30" s="90"/>
      <c r="U30" s="90"/>
      <c r="V30" s="151">
        <f>SUM(W30,X30,Y30,Z30)</f>
        <v>0</v>
      </c>
      <c r="W30" s="90"/>
      <c r="X30" s="90"/>
      <c r="Y30" s="90"/>
      <c r="Z30" s="90"/>
      <c r="AA30" s="151">
        <f>SUM(AB30,AC30,AD30,AE30)</f>
        <v>0</v>
      </c>
      <c r="AB30" s="90">
        <f t="shared" si="0"/>
        <v>0</v>
      </c>
      <c r="AC30" s="90">
        <f t="shared" si="0"/>
        <v>0</v>
      </c>
      <c r="AD30" s="90">
        <f t="shared" si="0"/>
        <v>0</v>
      </c>
      <c r="AE30" s="90">
        <f t="shared" si="0"/>
        <v>0</v>
      </c>
    </row>
    <row r="31" spans="1:31" s="153" customFormat="1" ht="22.5" customHeight="1">
      <c r="A31" s="304" t="s">
        <v>41</v>
      </c>
      <c r="B31" s="305"/>
      <c r="C31" s="305"/>
      <c r="D31" s="305"/>
      <c r="E31" s="305"/>
      <c r="F31" s="306"/>
      <c r="G31" s="133">
        <f t="shared" ref="G31:AE31" si="1">SUM(G28:G30)</f>
        <v>0</v>
      </c>
      <c r="H31" s="133">
        <f t="shared" si="1"/>
        <v>0</v>
      </c>
      <c r="I31" s="133">
        <f t="shared" si="1"/>
        <v>0</v>
      </c>
      <c r="J31" s="133">
        <f t="shared" si="1"/>
        <v>0</v>
      </c>
      <c r="K31" s="133">
        <f t="shared" si="1"/>
        <v>0</v>
      </c>
      <c r="L31" s="133">
        <f t="shared" si="1"/>
        <v>400</v>
      </c>
      <c r="M31" s="133">
        <f t="shared" si="1"/>
        <v>100</v>
      </c>
      <c r="N31" s="133">
        <f t="shared" si="1"/>
        <v>100</v>
      </c>
      <c r="O31" s="133">
        <f t="shared" si="1"/>
        <v>100</v>
      </c>
      <c r="P31" s="133">
        <f t="shared" si="1"/>
        <v>100</v>
      </c>
      <c r="Q31" s="133">
        <f t="shared" si="1"/>
        <v>600</v>
      </c>
      <c r="R31" s="133">
        <f t="shared" si="1"/>
        <v>150</v>
      </c>
      <c r="S31" s="133">
        <f t="shared" si="1"/>
        <v>150</v>
      </c>
      <c r="T31" s="133">
        <f t="shared" si="1"/>
        <v>150</v>
      </c>
      <c r="U31" s="133">
        <f t="shared" si="1"/>
        <v>150</v>
      </c>
      <c r="V31" s="133">
        <f t="shared" si="1"/>
        <v>0</v>
      </c>
      <c r="W31" s="133">
        <f t="shared" si="1"/>
        <v>0</v>
      </c>
      <c r="X31" s="133">
        <f t="shared" si="1"/>
        <v>0</v>
      </c>
      <c r="Y31" s="133">
        <f t="shared" si="1"/>
        <v>0</v>
      </c>
      <c r="Z31" s="133">
        <f t="shared" si="1"/>
        <v>0</v>
      </c>
      <c r="AA31" s="133">
        <f t="shared" si="1"/>
        <v>1000</v>
      </c>
      <c r="AB31" s="133">
        <f t="shared" si="1"/>
        <v>250</v>
      </c>
      <c r="AC31" s="133">
        <f t="shared" si="1"/>
        <v>250</v>
      </c>
      <c r="AD31" s="133">
        <f t="shared" si="1"/>
        <v>250</v>
      </c>
      <c r="AE31" s="133">
        <f t="shared" si="1"/>
        <v>250</v>
      </c>
    </row>
    <row r="32" spans="1:31" s="153" customFormat="1" ht="30" customHeight="1">
      <c r="A32" s="254" t="s">
        <v>42</v>
      </c>
      <c r="B32" s="255"/>
      <c r="C32" s="255"/>
      <c r="D32" s="255"/>
      <c r="E32" s="255"/>
      <c r="F32" s="256"/>
      <c r="G32" s="168">
        <f>G31/AA31*100</f>
        <v>0</v>
      </c>
      <c r="H32" s="169"/>
      <c r="I32" s="169"/>
      <c r="J32" s="169"/>
      <c r="K32" s="169"/>
      <c r="L32" s="168">
        <f>L31/AA31*100</f>
        <v>40</v>
      </c>
      <c r="M32" s="169"/>
      <c r="N32" s="169"/>
      <c r="O32" s="169"/>
      <c r="P32" s="169"/>
      <c r="Q32" s="168">
        <f>Q31/AA31*100</f>
        <v>60</v>
      </c>
      <c r="R32" s="169"/>
      <c r="S32" s="169"/>
      <c r="T32" s="169"/>
      <c r="U32" s="169"/>
      <c r="V32" s="168">
        <f>V31/AA31*100</f>
        <v>0</v>
      </c>
      <c r="W32" s="7"/>
      <c r="X32" s="7"/>
      <c r="Y32" s="7"/>
      <c r="Z32" s="7"/>
      <c r="AA32" s="168">
        <f>SUM(G32,L32,Q32,V32)</f>
        <v>100</v>
      </c>
      <c r="AB32" s="7"/>
      <c r="AC32" s="7"/>
      <c r="AD32" s="7"/>
      <c r="AE32" s="7"/>
    </row>
    <row r="33" spans="1:36" s="153" customFormat="1" ht="20.100000000000001" customHeight="1">
      <c r="A33" s="52"/>
      <c r="B33" s="52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52"/>
      <c r="T33" s="52"/>
      <c r="U33" s="52"/>
      <c r="V33" s="52"/>
      <c r="W33" s="170"/>
      <c r="X33" s="52"/>
      <c r="Y33" s="52"/>
      <c r="Z33" s="52"/>
      <c r="AA33" s="52"/>
      <c r="AB33" s="2"/>
      <c r="AC33" s="2"/>
      <c r="AD33" s="2"/>
      <c r="AE33" s="2"/>
    </row>
    <row r="34" spans="1:36" s="153" customFormat="1" ht="20.100000000000001" customHeight="1">
      <c r="A34" s="17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6" s="154" customFormat="1" ht="20.100000000000001" customHeight="1">
      <c r="A35" s="163"/>
      <c r="B35" s="163" t="s">
        <v>161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6" s="155" customFormat="1" ht="20.100000000000001" customHeight="1">
      <c r="A36" s="2"/>
      <c r="B36" s="2"/>
      <c r="C36" s="2"/>
      <c r="D36" s="2"/>
      <c r="E36" s="2"/>
      <c r="F36" s="2"/>
      <c r="G36" s="2"/>
      <c r="H36" s="2"/>
      <c r="I36" s="2"/>
      <c r="J36" s="171"/>
      <c r="K36" s="2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62" t="s">
        <v>370</v>
      </c>
    </row>
    <row r="37" spans="1:36" s="156" customFormat="1" ht="34.5" customHeight="1">
      <c r="A37" s="216" t="s">
        <v>37</v>
      </c>
      <c r="B37" s="202" t="s">
        <v>182</v>
      </c>
      <c r="C37" s="202" t="s">
        <v>196</v>
      </c>
      <c r="D37" s="202"/>
      <c r="E37" s="202" t="s">
        <v>141</v>
      </c>
      <c r="F37" s="202"/>
      <c r="G37" s="202" t="s">
        <v>142</v>
      </c>
      <c r="H37" s="202"/>
      <c r="I37" s="202" t="s">
        <v>178</v>
      </c>
      <c r="J37" s="202"/>
      <c r="K37" s="202" t="s">
        <v>104</v>
      </c>
      <c r="L37" s="202"/>
      <c r="M37" s="202"/>
      <c r="N37" s="202"/>
      <c r="O37" s="202"/>
      <c r="P37" s="202"/>
      <c r="Q37" s="202"/>
      <c r="R37" s="202"/>
      <c r="S37" s="202"/>
      <c r="T37" s="202"/>
      <c r="U37" s="202" t="s">
        <v>197</v>
      </c>
      <c r="V37" s="202"/>
      <c r="W37" s="202"/>
      <c r="X37" s="202"/>
      <c r="Y37" s="202"/>
      <c r="Z37" s="202" t="s">
        <v>309</v>
      </c>
      <c r="AA37" s="202"/>
      <c r="AB37" s="202"/>
      <c r="AC37" s="202"/>
      <c r="AD37" s="202"/>
      <c r="AE37" s="202"/>
    </row>
    <row r="38" spans="1:36" s="156" customFormat="1" ht="63.75" customHeight="1">
      <c r="A38" s="216"/>
      <c r="B38" s="202"/>
      <c r="C38" s="202"/>
      <c r="D38" s="202"/>
      <c r="E38" s="202"/>
      <c r="F38" s="202"/>
      <c r="G38" s="202"/>
      <c r="H38" s="202"/>
      <c r="I38" s="202"/>
      <c r="J38" s="202"/>
      <c r="K38" s="202" t="s">
        <v>206</v>
      </c>
      <c r="L38" s="202"/>
      <c r="M38" s="202" t="s">
        <v>207</v>
      </c>
      <c r="N38" s="202"/>
      <c r="O38" s="202" t="s">
        <v>195</v>
      </c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</row>
    <row r="39" spans="1:36" s="157" customFormat="1" ht="82.5" customHeight="1">
      <c r="A39" s="216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 t="s">
        <v>179</v>
      </c>
      <c r="P39" s="202"/>
      <c r="Q39" s="202" t="s">
        <v>180</v>
      </c>
      <c r="R39" s="202"/>
      <c r="S39" s="202" t="s">
        <v>181</v>
      </c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</row>
    <row r="40" spans="1:36" s="156" customFormat="1" ht="18" customHeight="1">
      <c r="A40" s="6">
        <v>1</v>
      </c>
      <c r="B40" s="7">
        <v>2</v>
      </c>
      <c r="C40" s="202">
        <v>3</v>
      </c>
      <c r="D40" s="202"/>
      <c r="E40" s="202">
        <v>4</v>
      </c>
      <c r="F40" s="202"/>
      <c r="G40" s="202">
        <v>5</v>
      </c>
      <c r="H40" s="202"/>
      <c r="I40" s="202">
        <v>6</v>
      </c>
      <c r="J40" s="202"/>
      <c r="K40" s="219">
        <v>7</v>
      </c>
      <c r="L40" s="221"/>
      <c r="M40" s="219">
        <v>8</v>
      </c>
      <c r="N40" s="221"/>
      <c r="O40" s="202">
        <v>9</v>
      </c>
      <c r="P40" s="202"/>
      <c r="Q40" s="216">
        <v>10</v>
      </c>
      <c r="R40" s="216"/>
      <c r="S40" s="202">
        <v>11</v>
      </c>
      <c r="T40" s="202"/>
      <c r="U40" s="202">
        <v>12</v>
      </c>
      <c r="V40" s="202"/>
      <c r="W40" s="202"/>
      <c r="X40" s="202"/>
      <c r="Y40" s="202"/>
      <c r="Z40" s="202">
        <v>13</v>
      </c>
      <c r="AA40" s="202"/>
      <c r="AB40" s="202"/>
      <c r="AC40" s="202"/>
      <c r="AD40" s="202"/>
      <c r="AE40" s="202"/>
    </row>
    <row r="41" spans="1:36" s="156" customFormat="1" ht="20.100000000000001" customHeight="1">
      <c r="A41" s="150"/>
      <c r="B41" s="150" t="s">
        <v>469</v>
      </c>
      <c r="C41" s="266" t="s">
        <v>469</v>
      </c>
      <c r="D41" s="268"/>
      <c r="E41" s="252" t="s">
        <v>469</v>
      </c>
      <c r="F41" s="253"/>
      <c r="G41" s="252" t="s">
        <v>469</v>
      </c>
      <c r="H41" s="253"/>
      <c r="I41" s="252" t="s">
        <v>469</v>
      </c>
      <c r="J41" s="253"/>
      <c r="K41" s="252" t="s">
        <v>469</v>
      </c>
      <c r="L41" s="253"/>
      <c r="M41" s="335">
        <f>SUM(O41,Q41,S41)</f>
        <v>0</v>
      </c>
      <c r="N41" s="336"/>
      <c r="O41" s="252" t="s">
        <v>469</v>
      </c>
      <c r="P41" s="253"/>
      <c r="Q41" s="252" t="s">
        <v>469</v>
      </c>
      <c r="R41" s="253"/>
      <c r="S41" s="252" t="s">
        <v>469</v>
      </c>
      <c r="T41" s="253"/>
      <c r="U41" s="283" t="s">
        <v>469</v>
      </c>
      <c r="V41" s="284"/>
      <c r="W41" s="284"/>
      <c r="X41" s="284"/>
      <c r="Y41" s="302"/>
      <c r="Z41" s="299" t="s">
        <v>469</v>
      </c>
      <c r="AA41" s="300"/>
      <c r="AB41" s="300"/>
      <c r="AC41" s="300"/>
      <c r="AD41" s="300"/>
      <c r="AE41" s="301"/>
    </row>
    <row r="42" spans="1:36" s="156" customFormat="1" ht="20.100000000000001" customHeight="1">
      <c r="A42" s="150"/>
      <c r="B42" s="172"/>
      <c r="C42" s="276"/>
      <c r="D42" s="276"/>
      <c r="E42" s="262"/>
      <c r="F42" s="262"/>
      <c r="G42" s="262"/>
      <c r="H42" s="262"/>
      <c r="I42" s="262"/>
      <c r="J42" s="262"/>
      <c r="K42" s="252"/>
      <c r="L42" s="253"/>
      <c r="M42" s="335">
        <f>SUM(O42,Q42,S42)</f>
        <v>0</v>
      </c>
      <c r="N42" s="336"/>
      <c r="O42" s="262"/>
      <c r="P42" s="262"/>
      <c r="Q42" s="262"/>
      <c r="R42" s="262"/>
      <c r="S42" s="262"/>
      <c r="T42" s="262"/>
      <c r="U42" s="285"/>
      <c r="V42" s="285"/>
      <c r="W42" s="285"/>
      <c r="X42" s="285"/>
      <c r="Y42" s="285"/>
      <c r="Z42" s="303"/>
      <c r="AA42" s="303"/>
      <c r="AB42" s="303"/>
      <c r="AC42" s="303"/>
      <c r="AD42" s="303"/>
      <c r="AE42" s="303"/>
      <c r="AG42" s="337"/>
      <c r="AH42" s="338"/>
      <c r="AI42" s="338"/>
      <c r="AJ42" s="339"/>
    </row>
    <row r="43" spans="1:36" s="156" customFormat="1" ht="20.100000000000001" customHeight="1">
      <c r="A43" s="228" t="s">
        <v>41</v>
      </c>
      <c r="B43" s="229"/>
      <c r="C43" s="229"/>
      <c r="D43" s="230"/>
      <c r="E43" s="271">
        <f>SUM(E41:E42)</f>
        <v>0</v>
      </c>
      <c r="F43" s="271"/>
      <c r="G43" s="271">
        <f>SUM(G41:G42)</f>
        <v>0</v>
      </c>
      <c r="H43" s="271"/>
      <c r="I43" s="271">
        <f>SUM(I41:I42)</f>
        <v>0</v>
      </c>
      <c r="J43" s="271"/>
      <c r="K43" s="271">
        <f>SUM(K41:K42)</f>
        <v>0</v>
      </c>
      <c r="L43" s="271"/>
      <c r="M43" s="271">
        <f>SUM(M41:M42)</f>
        <v>0</v>
      </c>
      <c r="N43" s="271"/>
      <c r="O43" s="271">
        <f>SUM(O41:O42)</f>
        <v>0</v>
      </c>
      <c r="P43" s="271"/>
      <c r="Q43" s="271">
        <f>SUM(Q41:Q42)</f>
        <v>0</v>
      </c>
      <c r="R43" s="271"/>
      <c r="S43" s="271">
        <f>SUM(S41:S42)</f>
        <v>0</v>
      </c>
      <c r="T43" s="271"/>
      <c r="U43" s="329"/>
      <c r="V43" s="329"/>
      <c r="W43" s="329"/>
      <c r="X43" s="329"/>
      <c r="Y43" s="329"/>
      <c r="Z43" s="334"/>
      <c r="AA43" s="334"/>
      <c r="AB43" s="334"/>
      <c r="AC43" s="334"/>
      <c r="AD43" s="334"/>
      <c r="AE43" s="334"/>
    </row>
    <row r="44" spans="1:36" s="153" customFormat="1" ht="20.100000000000001" customHeight="1">
      <c r="A44" s="17"/>
      <c r="B44" s="17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6" s="153" customFormat="1" ht="20.100000000000001" customHeight="1">
      <c r="A45" s="17"/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6" s="158" customFormat="1" ht="20.100000000000001" customHeight="1">
      <c r="A46" s="4"/>
      <c r="B46" s="4"/>
      <c r="C46" s="163"/>
      <c r="D46" s="163"/>
      <c r="E46" s="163"/>
      <c r="F46" s="163"/>
      <c r="G46" s="163"/>
      <c r="H46" s="163"/>
      <c r="I46" s="163"/>
      <c r="J46" s="163"/>
      <c r="K46" s="16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6" s="159" customFormat="1" ht="20.100000000000001" customHeight="1">
      <c r="A47" s="173"/>
      <c r="B47" s="330" t="s">
        <v>478</v>
      </c>
      <c r="C47" s="331"/>
      <c r="D47" s="331"/>
      <c r="E47" s="331"/>
      <c r="F47" s="331"/>
      <c r="G47" s="180"/>
      <c r="H47" s="180"/>
      <c r="I47" s="180"/>
      <c r="J47" s="180"/>
      <c r="K47" s="180"/>
      <c r="L47" s="332"/>
      <c r="M47" s="332"/>
      <c r="N47" s="332"/>
      <c r="O47" s="332"/>
      <c r="P47" s="332"/>
      <c r="Q47" s="181"/>
      <c r="R47" s="183" t="s">
        <v>462</v>
      </c>
      <c r="S47" s="181"/>
      <c r="T47" s="181"/>
      <c r="U47" s="174"/>
      <c r="V47" s="325"/>
      <c r="W47" s="333"/>
      <c r="X47" s="333"/>
      <c r="Y47" s="333"/>
      <c r="Z47" s="333"/>
      <c r="AA47" s="173"/>
      <c r="AB47" s="173"/>
      <c r="AC47" s="173"/>
      <c r="AD47" s="173"/>
      <c r="AE47" s="173"/>
    </row>
    <row r="48" spans="1:36" s="158" customFormat="1" ht="19.5" customHeight="1">
      <c r="A48" s="4"/>
      <c r="B48" s="175" t="s">
        <v>463</v>
      </c>
      <c r="C48" s="4"/>
      <c r="D48" s="4"/>
      <c r="E48" s="43"/>
      <c r="F48" s="43"/>
      <c r="G48" s="43"/>
      <c r="H48" s="43"/>
      <c r="I48" s="43"/>
      <c r="J48" s="43"/>
      <c r="K48" s="43"/>
      <c r="L48" s="4"/>
      <c r="M48" s="175"/>
      <c r="N48" s="26"/>
      <c r="O48" s="175"/>
      <c r="P48" s="4"/>
      <c r="Q48" s="43"/>
      <c r="R48" s="43"/>
      <c r="S48" s="43"/>
      <c r="T48" s="4"/>
      <c r="U48" s="4"/>
      <c r="V48" s="210"/>
      <c r="W48" s="210"/>
      <c r="X48" s="210"/>
      <c r="Y48" s="210"/>
      <c r="Z48" s="210"/>
      <c r="AA48" s="4"/>
      <c r="AB48" s="4"/>
      <c r="AC48" s="4"/>
      <c r="AD48" s="4"/>
      <c r="AE48" s="4"/>
    </row>
    <row r="49" spans="1:31" s="153" customFormat="1" ht="20.100000000000001" customHeight="1">
      <c r="A49" s="2"/>
      <c r="B49" s="176"/>
      <c r="C49" s="176"/>
      <c r="D49" s="176"/>
      <c r="E49" s="176"/>
      <c r="F49" s="176"/>
      <c r="G49" s="176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6"/>
      <c r="U49" s="176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153" customFormat="1" ht="20.100000000000001" customHeight="1"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</row>
    <row r="51" spans="1:31" s="153" customFormat="1" ht="26.25"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</row>
    <row r="52" spans="1:31" s="341" customFormat="1" ht="19.149999999999999" customHeight="1">
      <c r="A52" s="340" t="s">
        <v>376</v>
      </c>
    </row>
    <row r="53" spans="1:31" s="153" customFormat="1" ht="26.25"/>
    <row r="54" spans="1:31" s="153" customFormat="1" ht="26.25"/>
    <row r="55" spans="1:31" s="153" customFormat="1" ht="26.25">
      <c r="B55" s="161"/>
    </row>
    <row r="56" spans="1:31" s="153" customFormat="1" ht="26.25">
      <c r="B56" s="161"/>
    </row>
    <row r="57" spans="1:31" s="153" customFormat="1" ht="26.25">
      <c r="B57" s="161"/>
    </row>
    <row r="58" spans="1:31" s="153" customFormat="1" ht="26.25">
      <c r="B58" s="161"/>
    </row>
    <row r="59" spans="1:31" s="153" customFormat="1" ht="26.25">
      <c r="B59" s="161"/>
      <c r="X59" s="182"/>
    </row>
    <row r="60" spans="1:31" s="153" customFormat="1" ht="26.25">
      <c r="B60" s="161"/>
    </row>
    <row r="61" spans="1:31" ht="19.5">
      <c r="B61" s="37"/>
    </row>
  </sheetData>
  <mergeCells count="168">
    <mergeCell ref="AG42:AJ42"/>
    <mergeCell ref="A52:XFD52"/>
    <mergeCell ref="AC19:AE19"/>
    <mergeCell ref="AC13:AE15"/>
    <mergeCell ref="AC16:AE16"/>
    <mergeCell ref="AC17:AE17"/>
    <mergeCell ref="AC18:AE18"/>
    <mergeCell ref="Z17:AB17"/>
    <mergeCell ref="M40:N40"/>
    <mergeCell ref="Z19:AB19"/>
    <mergeCell ref="C42:D42"/>
    <mergeCell ref="E42:F42"/>
    <mergeCell ref="M42:N42"/>
    <mergeCell ref="K37:T37"/>
    <mergeCell ref="O38:T38"/>
    <mergeCell ref="N18:P18"/>
    <mergeCell ref="O39:P39"/>
    <mergeCell ref="C41:D41"/>
    <mergeCell ref="E41:F41"/>
    <mergeCell ref="C40:D40"/>
    <mergeCell ref="Q41:R41"/>
    <mergeCell ref="G41:H41"/>
    <mergeCell ref="I41:J41"/>
    <mergeCell ref="I37:J39"/>
    <mergeCell ref="V48:Z48"/>
    <mergeCell ref="O40:P40"/>
    <mergeCell ref="O41:P41"/>
    <mergeCell ref="M41:N41"/>
    <mergeCell ref="Q40:R40"/>
    <mergeCell ref="Z42:AE42"/>
    <mergeCell ref="B47:F47"/>
    <mergeCell ref="L47:P47"/>
    <mergeCell ref="V47:Z47"/>
    <mergeCell ref="Z43:AE43"/>
    <mergeCell ref="A43:D43"/>
    <mergeCell ref="Q43:R43"/>
    <mergeCell ref="K43:L43"/>
    <mergeCell ref="I43:J43"/>
    <mergeCell ref="S43:T43"/>
    <mergeCell ref="M43:N43"/>
    <mergeCell ref="AB1:AE1"/>
    <mergeCell ref="Q42:R42"/>
    <mergeCell ref="S41:T41"/>
    <mergeCell ref="Q39:R39"/>
    <mergeCell ref="Z18:AB18"/>
    <mergeCell ref="U43:Y43"/>
    <mergeCell ref="W18:Y18"/>
    <mergeCell ref="W19:Y19"/>
    <mergeCell ref="T18:V18"/>
    <mergeCell ref="T19:V19"/>
    <mergeCell ref="O42:P42"/>
    <mergeCell ref="S42:T42"/>
    <mergeCell ref="U42:Y42"/>
    <mergeCell ref="M38:N39"/>
    <mergeCell ref="C37:D39"/>
    <mergeCell ref="E37:F39"/>
    <mergeCell ref="K38:L39"/>
    <mergeCell ref="G40:H40"/>
    <mergeCell ref="G37:H39"/>
    <mergeCell ref="K42:L42"/>
    <mergeCell ref="B28:F28"/>
    <mergeCell ref="H25:K25"/>
    <mergeCell ref="B37:B39"/>
    <mergeCell ref="B24:F26"/>
    <mergeCell ref="A32:F32"/>
    <mergeCell ref="A37:A39"/>
    <mergeCell ref="B29:F29"/>
    <mergeCell ref="A24:A26"/>
    <mergeCell ref="C18:F18"/>
    <mergeCell ref="G18:M18"/>
    <mergeCell ref="C16:F16"/>
    <mergeCell ref="L24:P24"/>
    <mergeCell ref="L25:L26"/>
    <mergeCell ref="B27:F27"/>
    <mergeCell ref="A13:A15"/>
    <mergeCell ref="B13:B15"/>
    <mergeCell ref="C13:F15"/>
    <mergeCell ref="Q13:Y13"/>
    <mergeCell ref="Q14:S15"/>
    <mergeCell ref="A9:M9"/>
    <mergeCell ref="G13:M15"/>
    <mergeCell ref="N13:P15"/>
    <mergeCell ref="R9:U9"/>
    <mergeCell ref="O43:P43"/>
    <mergeCell ref="Z4:AB5"/>
    <mergeCell ref="R6:U6"/>
    <mergeCell ref="N6:Q6"/>
    <mergeCell ref="Z9:AB9"/>
    <mergeCell ref="N5:Q5"/>
    <mergeCell ref="T14:V15"/>
    <mergeCell ref="V9:Y9"/>
    <mergeCell ref="W14:Y15"/>
    <mergeCell ref="M25:P25"/>
    <mergeCell ref="E43:F43"/>
    <mergeCell ref="G43:H43"/>
    <mergeCell ref="I42:J42"/>
    <mergeCell ref="E40:F40"/>
    <mergeCell ref="K40:L40"/>
    <mergeCell ref="K41:L41"/>
    <mergeCell ref="G42:H42"/>
    <mergeCell ref="I40:J40"/>
    <mergeCell ref="AC4:AE5"/>
    <mergeCell ref="Z6:AB6"/>
    <mergeCell ref="AC9:AE9"/>
    <mergeCell ref="AA25:AA26"/>
    <mergeCell ref="Z13:AB15"/>
    <mergeCell ref="N9:Q9"/>
    <mergeCell ref="N16:P16"/>
    <mergeCell ref="V5:Y5"/>
    <mergeCell ref="V6:Y6"/>
    <mergeCell ref="W16:Y16"/>
    <mergeCell ref="V25:V26"/>
    <mergeCell ref="T16:V16"/>
    <mergeCell ref="G24:K24"/>
    <mergeCell ref="G25:G26"/>
    <mergeCell ref="G16:M16"/>
    <mergeCell ref="Q25:Q26"/>
    <mergeCell ref="Q19:S19"/>
    <mergeCell ref="N17:P17"/>
    <mergeCell ref="N19:P19"/>
    <mergeCell ref="A19:M19"/>
    <mergeCell ref="Q16:S16"/>
    <mergeCell ref="C17:F17"/>
    <mergeCell ref="G17:M17"/>
    <mergeCell ref="U41:Y41"/>
    <mergeCell ref="S39:T39"/>
    <mergeCell ref="Q18:S18"/>
    <mergeCell ref="R25:U25"/>
    <mergeCell ref="B30:F30"/>
    <mergeCell ref="W25:Z25"/>
    <mergeCell ref="A31:F31"/>
    <mergeCell ref="AB25:AE25"/>
    <mergeCell ref="U40:Y40"/>
    <mergeCell ref="Z40:AE40"/>
    <mergeCell ref="Z41:AE41"/>
    <mergeCell ref="W17:Y17"/>
    <mergeCell ref="Z37:AE39"/>
    <mergeCell ref="T17:V17"/>
    <mergeCell ref="Q24:U24"/>
    <mergeCell ref="U37:Y39"/>
    <mergeCell ref="S40:T40"/>
    <mergeCell ref="AC6:AE6"/>
    <mergeCell ref="AC8:AE8"/>
    <mergeCell ref="Z8:AB8"/>
    <mergeCell ref="Z7:AB7"/>
    <mergeCell ref="AC7:AE7"/>
    <mergeCell ref="V24:Z24"/>
    <mergeCell ref="V7:Y7"/>
    <mergeCell ref="Q17:S17"/>
    <mergeCell ref="V8:Y8"/>
    <mergeCell ref="R8:U8"/>
    <mergeCell ref="N8:Q8"/>
    <mergeCell ref="G7:M7"/>
    <mergeCell ref="A4:A5"/>
    <mergeCell ref="B4:B5"/>
    <mergeCell ref="C4:F5"/>
    <mergeCell ref="G8:M8"/>
    <mergeCell ref="G6:M6"/>
    <mergeCell ref="G4:M5"/>
    <mergeCell ref="AA24:AE24"/>
    <mergeCell ref="N4:Y4"/>
    <mergeCell ref="C8:F8"/>
    <mergeCell ref="C6:F6"/>
    <mergeCell ref="C7:F7"/>
    <mergeCell ref="R5:U5"/>
    <mergeCell ref="Z16:AB16"/>
    <mergeCell ref="R7:U7"/>
    <mergeCell ref="N7:Q7"/>
  </mergeCells>
  <phoneticPr fontId="3" type="noConversion"/>
  <pageMargins left="1.1811023622047245" right="0.39370078740157483" top="0.78740157480314965" bottom="0.78740157480314965" header="0.47244094488188981" footer="0.31496062992125984"/>
  <pageSetup paperSize="9" scale="35" orientation="landscape" verticalDpi="1200" r:id="rId1"/>
  <headerFooter alignWithMargins="0">
    <oddHeader xml:space="preserve">&amp;C&amp;"Times New Roman,обычный"&amp;14
 15&amp;R
&amp;"Times New Roman,обычный"&amp;14Продовження додатка 1
Таблиця 6
</oddHeader>
  </headerFooter>
  <ignoredErrors>
    <ignoredError sqref="H31:AE31 N9 R9:Y9 Q19 T19 W19 E43:T43" formulaRange="1"/>
    <ignoredError sqref="AA32:AE32 G32:Z32 AA9:AB9 AA17:AB17 AA7:AB7 AA8:AB8 AD7:AE7 AD8:AE8 AD9:AE9 AA19:AB19 AA18:AB18 AD17:AE17 AD18:AE18 AD19:AE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326"/>
  <sheetViews>
    <sheetView zoomScale="75" zoomScaleNormal="75" workbookViewId="0">
      <selection activeCell="N25" sqref="N25"/>
    </sheetView>
  </sheetViews>
  <sheetFormatPr defaultRowHeight="18.75"/>
  <cols>
    <col min="1" max="1" width="86.7109375" style="3" customWidth="1"/>
    <col min="2" max="2" width="14.85546875" style="26" customWidth="1"/>
    <col min="3" max="5" width="16.28515625" style="26" customWidth="1"/>
    <col min="6" max="10" width="16.28515625" style="3" customWidth="1"/>
    <col min="11" max="11" width="72.140625" style="3" customWidth="1"/>
    <col min="12" max="12" width="9.140625" style="3"/>
    <col min="13" max="13" width="11.5703125" style="3" bestFit="1" customWidth="1"/>
    <col min="14" max="16384" width="9.140625" style="3"/>
  </cols>
  <sheetData>
    <row r="1" spans="1:13">
      <c r="A1" s="224" t="s">
        <v>174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3">
      <c r="A2" s="42"/>
      <c r="B2" s="52"/>
      <c r="C2" s="42"/>
      <c r="D2" s="42"/>
      <c r="E2" s="52"/>
      <c r="F2" s="42"/>
      <c r="G2" s="42"/>
      <c r="H2" s="42"/>
      <c r="I2" s="42"/>
      <c r="J2" s="42"/>
    </row>
    <row r="3" spans="1:13" ht="36" customHeight="1">
      <c r="A3" s="216" t="s">
        <v>169</v>
      </c>
      <c r="B3" s="202" t="s">
        <v>8</v>
      </c>
      <c r="C3" s="202" t="s">
        <v>378</v>
      </c>
      <c r="D3" s="202" t="s">
        <v>398</v>
      </c>
      <c r="E3" s="225" t="s">
        <v>397</v>
      </c>
      <c r="F3" s="202" t="s">
        <v>388</v>
      </c>
      <c r="G3" s="202" t="s">
        <v>127</v>
      </c>
      <c r="H3" s="202"/>
      <c r="I3" s="202"/>
      <c r="J3" s="202"/>
      <c r="K3" s="202" t="s">
        <v>157</v>
      </c>
    </row>
    <row r="4" spans="1:13" ht="61.5" customHeight="1">
      <c r="A4" s="216"/>
      <c r="B4" s="202"/>
      <c r="C4" s="202"/>
      <c r="D4" s="202"/>
      <c r="E4" s="225"/>
      <c r="F4" s="202"/>
      <c r="G4" s="15" t="s">
        <v>128</v>
      </c>
      <c r="H4" s="15" t="s">
        <v>129</v>
      </c>
      <c r="I4" s="15" t="s">
        <v>130</v>
      </c>
      <c r="J4" s="15" t="s">
        <v>56</v>
      </c>
      <c r="K4" s="202"/>
    </row>
    <row r="5" spans="1:13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</row>
    <row r="6" spans="1:13" s="5" customFormat="1" ht="20.100000000000001" customHeight="1">
      <c r="A6" s="227" t="s">
        <v>173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</row>
    <row r="7" spans="1:13" s="5" customFormat="1">
      <c r="A7" s="8" t="s">
        <v>138</v>
      </c>
      <c r="B7" s="9">
        <v>1000</v>
      </c>
      <c r="C7" s="89">
        <v>42539</v>
      </c>
      <c r="D7" s="89">
        <v>54140</v>
      </c>
      <c r="E7" s="89">
        <v>75793.600000000006</v>
      </c>
      <c r="F7" s="94">
        <f>SUM(G7:J7)</f>
        <v>95891</v>
      </c>
      <c r="G7" s="89">
        <v>24771</v>
      </c>
      <c r="H7" s="89">
        <v>20249</v>
      </c>
      <c r="I7" s="89">
        <v>22000</v>
      </c>
      <c r="J7" s="89">
        <v>28871</v>
      </c>
      <c r="K7" s="85"/>
    </row>
    <row r="8" spans="1:13" ht="18.75" customHeight="1">
      <c r="A8" s="8" t="s">
        <v>119</v>
      </c>
      <c r="B8" s="9">
        <v>1010</v>
      </c>
      <c r="C8" s="94">
        <f>SUM(C9:C16)</f>
        <v>-57200.300999999999</v>
      </c>
      <c r="D8" s="94">
        <f>SUM(D9:D16)</f>
        <v>-52779</v>
      </c>
      <c r="E8" s="94">
        <f>SUM(E9:E16)</f>
        <v>-66774.357000000004</v>
      </c>
      <c r="F8" s="94">
        <f>SUM(G8:J8)</f>
        <v>-83931.56</v>
      </c>
      <c r="G8" s="94">
        <f>SUM(G9:G16)</f>
        <v>-20906.63</v>
      </c>
      <c r="H8" s="94">
        <f>SUM(H9:H16)</f>
        <v>-17907</v>
      </c>
      <c r="I8" s="94">
        <f>SUM(I9:I16)</f>
        <v>-19920.93</v>
      </c>
      <c r="J8" s="94">
        <f>SUM(J9:J16)</f>
        <v>-25197</v>
      </c>
      <c r="K8" s="84"/>
    </row>
    <row r="9" spans="1:13" s="2" customFormat="1" ht="20.100000000000001" customHeight="1">
      <c r="A9" s="8" t="s">
        <v>348</v>
      </c>
      <c r="B9" s="7">
        <v>1011</v>
      </c>
      <c r="C9" s="89">
        <v>-1311.9839999999999</v>
      </c>
      <c r="D9" s="89">
        <v>0</v>
      </c>
      <c r="E9" s="89">
        <v>-1377.6</v>
      </c>
      <c r="F9" s="94">
        <f>SUM(G9:J9)</f>
        <v>-1460</v>
      </c>
      <c r="G9" s="89">
        <v>-365</v>
      </c>
      <c r="H9" s="89">
        <v>-365</v>
      </c>
      <c r="I9" s="89">
        <v>-365</v>
      </c>
      <c r="J9" s="89">
        <v>-365</v>
      </c>
      <c r="K9" s="84"/>
    </row>
    <row r="10" spans="1:13" s="2" customFormat="1" ht="20.100000000000001" customHeight="1">
      <c r="A10" s="8" t="s">
        <v>349</v>
      </c>
      <c r="B10" s="7">
        <v>1012</v>
      </c>
      <c r="C10" s="89">
        <v>-1246.317</v>
      </c>
      <c r="D10" s="89">
        <v>0</v>
      </c>
      <c r="E10" s="89">
        <v>-1308.3</v>
      </c>
      <c r="F10" s="94">
        <f t="shared" ref="F10:F16" si="0">SUM(G10:J10)</f>
        <v>-1414</v>
      </c>
      <c r="G10" s="89">
        <v>-347</v>
      </c>
      <c r="H10" s="89">
        <v>-347</v>
      </c>
      <c r="I10" s="89">
        <v>-360</v>
      </c>
      <c r="J10" s="89">
        <v>-360</v>
      </c>
      <c r="K10" s="84"/>
    </row>
    <row r="11" spans="1:13" s="2" customFormat="1" ht="20.100000000000001" customHeight="1">
      <c r="A11" s="8" t="s">
        <v>350</v>
      </c>
      <c r="B11" s="7">
        <v>1013</v>
      </c>
      <c r="C11" s="89">
        <v>-6030</v>
      </c>
      <c r="D11" s="89">
        <v>0</v>
      </c>
      <c r="E11" s="89">
        <v>-6961.5</v>
      </c>
      <c r="F11" s="94">
        <f t="shared" si="0"/>
        <v>-7534.8600000000006</v>
      </c>
      <c r="G11" s="89">
        <v>-1844.93</v>
      </c>
      <c r="H11" s="89">
        <v>-1845</v>
      </c>
      <c r="I11" s="89">
        <v>-1844.93</v>
      </c>
      <c r="J11" s="89">
        <v>-2000</v>
      </c>
      <c r="K11" s="84"/>
    </row>
    <row r="12" spans="1:13" s="2" customFormat="1" ht="20.100000000000001" customHeight="1">
      <c r="A12" s="8" t="s">
        <v>5</v>
      </c>
      <c r="B12" s="7">
        <v>1014</v>
      </c>
      <c r="C12" s="89">
        <v>-15912</v>
      </c>
      <c r="D12" s="89">
        <v>0</v>
      </c>
      <c r="E12" s="89">
        <v>-16708</v>
      </c>
      <c r="F12" s="94">
        <f t="shared" si="0"/>
        <v>-20630</v>
      </c>
      <c r="G12" s="89">
        <v>-5132</v>
      </c>
      <c r="H12" s="89">
        <v>-5132</v>
      </c>
      <c r="I12" s="89">
        <v>-5133</v>
      </c>
      <c r="J12" s="89">
        <v>-5233</v>
      </c>
      <c r="K12" s="84"/>
    </row>
    <row r="13" spans="1:13" s="2" customFormat="1" ht="20.100000000000001" customHeight="1">
      <c r="A13" s="8" t="s">
        <v>6</v>
      </c>
      <c r="B13" s="7">
        <v>1015</v>
      </c>
      <c r="C13" s="89">
        <v>-3501</v>
      </c>
      <c r="D13" s="89">
        <v>0</v>
      </c>
      <c r="E13" s="89">
        <v>-3676</v>
      </c>
      <c r="F13" s="94">
        <f t="shared" si="0"/>
        <v>-4538</v>
      </c>
      <c r="G13" s="89">
        <v>-1129</v>
      </c>
      <c r="H13" s="89">
        <v>-1129</v>
      </c>
      <c r="I13" s="89">
        <v>-1129</v>
      </c>
      <c r="J13" s="89">
        <v>-1151</v>
      </c>
      <c r="K13" s="84"/>
    </row>
    <row r="14" spans="1:13" s="2" customFormat="1" ht="39" customHeight="1">
      <c r="A14" s="8" t="s">
        <v>351</v>
      </c>
      <c r="B14" s="7">
        <v>1016</v>
      </c>
      <c r="C14" s="89">
        <v>0</v>
      </c>
      <c r="D14" s="89">
        <v>0</v>
      </c>
      <c r="E14" s="89">
        <v>0</v>
      </c>
      <c r="F14" s="94">
        <f t="shared" si="0"/>
        <v>0</v>
      </c>
      <c r="G14" s="89">
        <v>0</v>
      </c>
      <c r="H14" s="89">
        <v>0</v>
      </c>
      <c r="I14" s="89">
        <v>0</v>
      </c>
      <c r="J14" s="89">
        <v>0</v>
      </c>
      <c r="K14" s="84"/>
      <c r="M14" s="146"/>
    </row>
    <row r="15" spans="1:13" s="2" customFormat="1" ht="20.100000000000001" customHeight="1">
      <c r="A15" s="8" t="s">
        <v>352</v>
      </c>
      <c r="B15" s="7">
        <v>1017</v>
      </c>
      <c r="C15" s="89">
        <v>-1414</v>
      </c>
      <c r="D15" s="89">
        <v>0</v>
      </c>
      <c r="E15" s="89">
        <v>-1414</v>
      </c>
      <c r="F15" s="94">
        <f t="shared" si="0"/>
        <v>-1864</v>
      </c>
      <c r="G15" s="89">
        <v>-466</v>
      </c>
      <c r="H15" s="89">
        <v>-466</v>
      </c>
      <c r="I15" s="89">
        <v>-466</v>
      </c>
      <c r="J15" s="89">
        <v>-466</v>
      </c>
      <c r="K15" s="84"/>
    </row>
    <row r="16" spans="1:13" s="2" customFormat="1" ht="20.100000000000001" customHeight="1">
      <c r="A16" s="8" t="s">
        <v>353</v>
      </c>
      <c r="B16" s="7">
        <v>1018</v>
      </c>
      <c r="C16" s="89">
        <v>-27785</v>
      </c>
      <c r="D16" s="89">
        <v>-52779</v>
      </c>
      <c r="E16" s="89">
        <v>-35328.957000000002</v>
      </c>
      <c r="F16" s="94">
        <f t="shared" si="0"/>
        <v>-46490.7</v>
      </c>
      <c r="G16" s="89">
        <v>-11622.7</v>
      </c>
      <c r="H16" s="89">
        <v>-8623</v>
      </c>
      <c r="I16" s="89">
        <v>-10623</v>
      </c>
      <c r="J16" s="89">
        <v>-15622</v>
      </c>
      <c r="K16" s="84"/>
    </row>
    <row r="17" spans="1:13" s="5" customFormat="1" ht="20.100000000000001" customHeight="1">
      <c r="A17" s="10" t="s">
        <v>12</v>
      </c>
      <c r="B17" s="11">
        <v>1020</v>
      </c>
      <c r="C17" s="122">
        <f>SUM(C7,C8)</f>
        <v>-14661.300999999999</v>
      </c>
      <c r="D17" s="122">
        <f t="shared" ref="D17:J17" si="1">SUM(D7,D8)</f>
        <v>1361</v>
      </c>
      <c r="E17" s="122">
        <f t="shared" si="1"/>
        <v>9019.2430000000022</v>
      </c>
      <c r="F17" s="122">
        <f t="shared" si="1"/>
        <v>11959.440000000002</v>
      </c>
      <c r="G17" s="122">
        <f t="shared" si="1"/>
        <v>3864.369999999999</v>
      </c>
      <c r="H17" s="122">
        <f t="shared" si="1"/>
        <v>2342</v>
      </c>
      <c r="I17" s="122">
        <f t="shared" si="1"/>
        <v>2079.0699999999997</v>
      </c>
      <c r="J17" s="122">
        <f t="shared" si="1"/>
        <v>3674</v>
      </c>
      <c r="K17" s="85"/>
    </row>
    <row r="18" spans="1:13" ht="20.100000000000001" customHeight="1">
      <c r="A18" s="8" t="s">
        <v>153</v>
      </c>
      <c r="B18" s="9">
        <v>1030</v>
      </c>
      <c r="C18" s="94">
        <f>SUM(C19:C38,C40)</f>
        <v>-4373.2479999999996</v>
      </c>
      <c r="D18" s="94">
        <f>SUM(D19:D38,D40)</f>
        <v>-4692</v>
      </c>
      <c r="E18" s="94">
        <f>SUM(E19:E38,E40)</f>
        <v>-5503.9000000000005</v>
      </c>
      <c r="F18" s="94">
        <f t="shared" ref="F18:F73" si="2">SUM(G18:J18)</f>
        <v>-6752.9</v>
      </c>
      <c r="G18" s="94">
        <f>SUM(G19:G38,G40)</f>
        <v>-1666.25</v>
      </c>
      <c r="H18" s="94">
        <f>SUM(H19:H38,H40)</f>
        <v>-1599.05</v>
      </c>
      <c r="I18" s="94">
        <f>SUM(I19:I38,I40)</f>
        <v>-1675.35</v>
      </c>
      <c r="J18" s="94">
        <f>SUM(J19:J38,J40)</f>
        <v>-1812.25</v>
      </c>
      <c r="K18" s="84"/>
    </row>
    <row r="19" spans="1:13" ht="20.100000000000001" customHeight="1">
      <c r="A19" s="8" t="s">
        <v>88</v>
      </c>
      <c r="B19" s="9">
        <v>1031</v>
      </c>
      <c r="C19" s="89">
        <v>0</v>
      </c>
      <c r="D19" s="89">
        <v>0</v>
      </c>
      <c r="E19" s="89">
        <v>0</v>
      </c>
      <c r="F19" s="94">
        <f t="shared" si="2"/>
        <v>-128</v>
      </c>
      <c r="G19" s="89">
        <v>-28</v>
      </c>
      <c r="H19" s="89">
        <v>-28</v>
      </c>
      <c r="I19" s="89">
        <v>-36</v>
      </c>
      <c r="J19" s="89">
        <v>-36</v>
      </c>
      <c r="K19" s="84"/>
    </row>
    <row r="20" spans="1:13" ht="20.100000000000001" customHeight="1">
      <c r="A20" s="8" t="s">
        <v>140</v>
      </c>
      <c r="B20" s="9">
        <v>1032</v>
      </c>
      <c r="C20" s="89">
        <v>0</v>
      </c>
      <c r="D20" s="89">
        <v>0</v>
      </c>
      <c r="E20" s="89">
        <v>0</v>
      </c>
      <c r="F20" s="94">
        <f t="shared" si="2"/>
        <v>0</v>
      </c>
      <c r="G20" s="89">
        <v>0</v>
      </c>
      <c r="H20" s="89">
        <v>0</v>
      </c>
      <c r="I20" s="89">
        <v>0</v>
      </c>
      <c r="J20" s="89">
        <v>0</v>
      </c>
      <c r="K20" s="84"/>
    </row>
    <row r="21" spans="1:13" ht="20.100000000000001" customHeight="1">
      <c r="A21" s="8" t="s">
        <v>46</v>
      </c>
      <c r="B21" s="9">
        <v>1033</v>
      </c>
      <c r="C21" s="89">
        <v>0</v>
      </c>
      <c r="D21" s="89">
        <v>0</v>
      </c>
      <c r="E21" s="89">
        <v>0</v>
      </c>
      <c r="F21" s="94">
        <f t="shared" si="2"/>
        <v>0</v>
      </c>
      <c r="G21" s="89">
        <v>0</v>
      </c>
      <c r="H21" s="89">
        <v>0</v>
      </c>
      <c r="I21" s="89">
        <v>0</v>
      </c>
      <c r="J21" s="89">
        <v>0</v>
      </c>
      <c r="K21" s="84"/>
      <c r="M21" s="149"/>
    </row>
    <row r="22" spans="1:13" ht="20.100000000000001" customHeight="1">
      <c r="A22" s="8" t="s">
        <v>10</v>
      </c>
      <c r="B22" s="9">
        <v>1034</v>
      </c>
      <c r="C22" s="89">
        <v>0</v>
      </c>
      <c r="D22" s="89">
        <v>0</v>
      </c>
      <c r="E22" s="89">
        <v>0</v>
      </c>
      <c r="F22" s="94">
        <f t="shared" si="2"/>
        <v>0</v>
      </c>
      <c r="G22" s="89">
        <v>0</v>
      </c>
      <c r="H22" s="89">
        <v>0</v>
      </c>
      <c r="I22" s="89">
        <v>0</v>
      </c>
      <c r="J22" s="89">
        <v>0</v>
      </c>
      <c r="K22" s="84"/>
    </row>
    <row r="23" spans="1:13" ht="20.100000000000001" customHeight="1">
      <c r="A23" s="8" t="s">
        <v>11</v>
      </c>
      <c r="B23" s="9">
        <v>1035</v>
      </c>
      <c r="C23" s="89">
        <v>0</v>
      </c>
      <c r="D23" s="89">
        <v>0</v>
      </c>
      <c r="E23" s="89">
        <v>0</v>
      </c>
      <c r="F23" s="94">
        <f t="shared" si="2"/>
        <v>0</v>
      </c>
      <c r="G23" s="89">
        <v>0</v>
      </c>
      <c r="H23" s="89">
        <v>0</v>
      </c>
      <c r="I23" s="89">
        <v>0</v>
      </c>
      <c r="J23" s="89">
        <v>0</v>
      </c>
      <c r="K23" s="84"/>
    </row>
    <row r="24" spans="1:13" s="2" customFormat="1" ht="20.100000000000001" customHeight="1">
      <c r="A24" s="8" t="s">
        <v>22</v>
      </c>
      <c r="B24" s="9">
        <v>1036</v>
      </c>
      <c r="C24" s="89">
        <v>-31.387</v>
      </c>
      <c r="D24" s="89">
        <v>-15</v>
      </c>
      <c r="E24" s="89">
        <v>-40.799999999999997</v>
      </c>
      <c r="F24" s="94">
        <f t="shared" si="2"/>
        <v>-81</v>
      </c>
      <c r="G24" s="89">
        <v>-20.25</v>
      </c>
      <c r="H24" s="89">
        <v>-20.25</v>
      </c>
      <c r="I24" s="89">
        <v>-20.25</v>
      </c>
      <c r="J24" s="89">
        <v>-20.25</v>
      </c>
      <c r="K24" s="84"/>
    </row>
    <row r="25" spans="1:13" s="2" customFormat="1" ht="20.100000000000001" customHeight="1">
      <c r="A25" s="8" t="s">
        <v>23</v>
      </c>
      <c r="B25" s="9">
        <v>1037</v>
      </c>
      <c r="C25" s="89">
        <v>-5.8470000000000004</v>
      </c>
      <c r="D25" s="89">
        <v>-5</v>
      </c>
      <c r="E25" s="89">
        <v>-6.2</v>
      </c>
      <c r="F25" s="94">
        <f t="shared" si="2"/>
        <v>-8</v>
      </c>
      <c r="G25" s="89">
        <v>-2</v>
      </c>
      <c r="H25" s="89">
        <v>-2</v>
      </c>
      <c r="I25" s="89">
        <v>-2</v>
      </c>
      <c r="J25" s="89">
        <v>-2</v>
      </c>
      <c r="K25" s="84"/>
    </row>
    <row r="26" spans="1:13" s="2" customFormat="1" ht="20.100000000000001" customHeight="1">
      <c r="A26" s="8" t="s">
        <v>24</v>
      </c>
      <c r="B26" s="9">
        <v>1038</v>
      </c>
      <c r="C26" s="89">
        <v>-3273</v>
      </c>
      <c r="D26" s="89">
        <v>-3211</v>
      </c>
      <c r="E26" s="89">
        <v>-4054.5</v>
      </c>
      <c r="F26" s="94">
        <f t="shared" si="2"/>
        <v>-4796.8999999999996</v>
      </c>
      <c r="G26" s="89">
        <v>-1188</v>
      </c>
      <c r="H26" s="89">
        <v>-1120.8</v>
      </c>
      <c r="I26" s="89">
        <v>-1188.0999999999999</v>
      </c>
      <c r="J26" s="89">
        <v>-1300</v>
      </c>
      <c r="K26" s="84"/>
    </row>
    <row r="27" spans="1:13" s="2" customFormat="1" ht="20.100000000000001" customHeight="1">
      <c r="A27" s="8" t="s">
        <v>25</v>
      </c>
      <c r="B27" s="9">
        <v>1039</v>
      </c>
      <c r="C27" s="89">
        <v>-692.12099999999998</v>
      </c>
      <c r="D27" s="89">
        <v>-706</v>
      </c>
      <c r="E27" s="89">
        <v>-866.3</v>
      </c>
      <c r="F27" s="94">
        <f t="shared" si="2"/>
        <v>-1069</v>
      </c>
      <c r="G27" s="89">
        <v>-261</v>
      </c>
      <c r="H27" s="89">
        <v>-261</v>
      </c>
      <c r="I27" s="89">
        <v>-261</v>
      </c>
      <c r="J27" s="89">
        <v>-286</v>
      </c>
      <c r="K27" s="84"/>
    </row>
    <row r="28" spans="1:13" s="2" customFormat="1" ht="42" customHeight="1">
      <c r="A28" s="8" t="s">
        <v>26</v>
      </c>
      <c r="B28" s="9">
        <v>1040</v>
      </c>
      <c r="C28" s="89">
        <v>-40.823</v>
      </c>
      <c r="D28" s="89">
        <v>-55</v>
      </c>
      <c r="E28" s="89">
        <v>-36</v>
      </c>
      <c r="F28" s="94">
        <f t="shared" si="2"/>
        <v>-36</v>
      </c>
      <c r="G28" s="89">
        <v>-9</v>
      </c>
      <c r="H28" s="89">
        <v>-9</v>
      </c>
      <c r="I28" s="89">
        <v>-9</v>
      </c>
      <c r="J28" s="89">
        <v>-9</v>
      </c>
      <c r="K28" s="84"/>
    </row>
    <row r="29" spans="1:13" s="2" customFormat="1" ht="42" customHeight="1">
      <c r="A29" s="8" t="s">
        <v>27</v>
      </c>
      <c r="B29" s="9">
        <v>1041</v>
      </c>
      <c r="C29" s="89">
        <v>0</v>
      </c>
      <c r="D29" s="89">
        <v>0</v>
      </c>
      <c r="E29" s="89">
        <v>0</v>
      </c>
      <c r="F29" s="94">
        <f t="shared" si="2"/>
        <v>0</v>
      </c>
      <c r="G29" s="89">
        <v>0</v>
      </c>
      <c r="H29" s="89">
        <v>0</v>
      </c>
      <c r="I29" s="89">
        <v>0</v>
      </c>
      <c r="J29" s="89">
        <v>0</v>
      </c>
      <c r="K29" s="84"/>
    </row>
    <row r="30" spans="1:13" s="2" customFormat="1" ht="20.100000000000001" customHeight="1">
      <c r="A30" s="8" t="s">
        <v>28</v>
      </c>
      <c r="B30" s="9">
        <v>1042</v>
      </c>
      <c r="C30" s="89">
        <v>0</v>
      </c>
      <c r="D30" s="89">
        <v>0</v>
      </c>
      <c r="E30" s="89">
        <v>0</v>
      </c>
      <c r="F30" s="94">
        <f t="shared" si="2"/>
        <v>0</v>
      </c>
      <c r="G30" s="89">
        <v>0</v>
      </c>
      <c r="H30" s="89">
        <v>0</v>
      </c>
      <c r="I30" s="89">
        <v>0</v>
      </c>
      <c r="J30" s="89">
        <v>0</v>
      </c>
      <c r="K30" s="84"/>
    </row>
    <row r="31" spans="1:13" s="2" customFormat="1" ht="20.100000000000001" customHeight="1">
      <c r="A31" s="8" t="s">
        <v>29</v>
      </c>
      <c r="B31" s="9">
        <v>1043</v>
      </c>
      <c r="C31" s="89">
        <v>0</v>
      </c>
      <c r="D31" s="89">
        <v>0</v>
      </c>
      <c r="E31" s="89">
        <v>0</v>
      </c>
      <c r="F31" s="94">
        <f t="shared" si="2"/>
        <v>0</v>
      </c>
      <c r="G31" s="89">
        <v>0</v>
      </c>
      <c r="H31" s="89">
        <v>0</v>
      </c>
      <c r="I31" s="89">
        <v>0</v>
      </c>
      <c r="J31" s="89">
        <v>0</v>
      </c>
      <c r="K31" s="84"/>
    </row>
    <row r="32" spans="1:13" s="2" customFormat="1" ht="20.100000000000001" customHeight="1">
      <c r="A32" s="8" t="s">
        <v>30</v>
      </c>
      <c r="B32" s="9">
        <v>1044</v>
      </c>
      <c r="C32" s="89">
        <v>0</v>
      </c>
      <c r="D32" s="89">
        <v>0</v>
      </c>
      <c r="E32" s="89">
        <v>0</v>
      </c>
      <c r="F32" s="94">
        <f t="shared" si="2"/>
        <v>0</v>
      </c>
      <c r="G32" s="89">
        <v>0</v>
      </c>
      <c r="H32" s="89">
        <v>0</v>
      </c>
      <c r="I32" s="89">
        <v>0</v>
      </c>
      <c r="J32" s="89">
        <v>0</v>
      </c>
      <c r="K32" s="84"/>
    </row>
    <row r="33" spans="1:11" s="2" customFormat="1" ht="20.100000000000001" customHeight="1">
      <c r="A33" s="8" t="s">
        <v>48</v>
      </c>
      <c r="B33" s="9">
        <v>1045</v>
      </c>
      <c r="C33" s="89">
        <v>-24</v>
      </c>
      <c r="D33" s="89">
        <v>-54</v>
      </c>
      <c r="E33" s="89">
        <v>-24</v>
      </c>
      <c r="F33" s="94">
        <f t="shared" si="2"/>
        <v>-26</v>
      </c>
      <c r="G33" s="89">
        <v>-6</v>
      </c>
      <c r="H33" s="89">
        <v>-6</v>
      </c>
      <c r="I33" s="89">
        <v>-7</v>
      </c>
      <c r="J33" s="89">
        <v>-7</v>
      </c>
      <c r="K33" s="84"/>
    </row>
    <row r="34" spans="1:11" s="2" customFormat="1" ht="20.100000000000001" customHeight="1">
      <c r="A34" s="8" t="s">
        <v>31</v>
      </c>
      <c r="B34" s="9">
        <v>1046</v>
      </c>
      <c r="C34" s="89">
        <v>0</v>
      </c>
      <c r="D34" s="89">
        <v>0</v>
      </c>
      <c r="E34" s="89">
        <v>0</v>
      </c>
      <c r="F34" s="94">
        <f t="shared" si="2"/>
        <v>0</v>
      </c>
      <c r="G34" s="89">
        <v>0</v>
      </c>
      <c r="H34" s="89">
        <v>0</v>
      </c>
      <c r="I34" s="89">
        <v>0</v>
      </c>
      <c r="J34" s="89">
        <v>0</v>
      </c>
      <c r="K34" s="84"/>
    </row>
    <row r="35" spans="1:11" s="2" customFormat="1" ht="20.100000000000001" customHeight="1">
      <c r="A35" s="8" t="s">
        <v>32</v>
      </c>
      <c r="B35" s="9">
        <v>1047</v>
      </c>
      <c r="C35" s="89">
        <v>0</v>
      </c>
      <c r="D35" s="89">
        <v>0</v>
      </c>
      <c r="E35" s="89">
        <v>0</v>
      </c>
      <c r="F35" s="94">
        <f t="shared" si="2"/>
        <v>0</v>
      </c>
      <c r="G35" s="89">
        <v>0</v>
      </c>
      <c r="H35" s="89">
        <v>0</v>
      </c>
      <c r="I35" s="89">
        <v>0</v>
      </c>
      <c r="J35" s="89">
        <v>0</v>
      </c>
      <c r="K35" s="84"/>
    </row>
    <row r="36" spans="1:11" s="2" customFormat="1" ht="20.100000000000001" customHeight="1">
      <c r="A36" s="8" t="s">
        <v>33</v>
      </c>
      <c r="B36" s="9">
        <v>1048</v>
      </c>
      <c r="C36" s="89">
        <v>-3</v>
      </c>
      <c r="D36" s="89">
        <v>0</v>
      </c>
      <c r="E36" s="89">
        <v>0</v>
      </c>
      <c r="F36" s="94">
        <f t="shared" si="2"/>
        <v>0</v>
      </c>
      <c r="G36" s="89">
        <v>0</v>
      </c>
      <c r="H36" s="89">
        <v>0</v>
      </c>
      <c r="I36" s="89">
        <v>0</v>
      </c>
      <c r="J36" s="89">
        <v>0</v>
      </c>
      <c r="K36" s="84"/>
    </row>
    <row r="37" spans="1:11" s="2" customFormat="1" ht="20.100000000000001" customHeight="1">
      <c r="A37" s="8" t="s">
        <v>34</v>
      </c>
      <c r="B37" s="9">
        <v>1049</v>
      </c>
      <c r="C37" s="89">
        <v>-3.07</v>
      </c>
      <c r="D37" s="89">
        <v>-7</v>
      </c>
      <c r="E37" s="89">
        <v>-4.5999999999999996</v>
      </c>
      <c r="F37" s="94">
        <f t="shared" si="2"/>
        <v>-8</v>
      </c>
      <c r="G37" s="89">
        <v>-2</v>
      </c>
      <c r="H37" s="89">
        <v>-2</v>
      </c>
      <c r="I37" s="89">
        <v>-2</v>
      </c>
      <c r="J37" s="89">
        <v>-2</v>
      </c>
      <c r="K37" s="84"/>
    </row>
    <row r="38" spans="1:11" s="2" customFormat="1" ht="42.75" customHeight="1">
      <c r="A38" s="8" t="s">
        <v>65</v>
      </c>
      <c r="B38" s="9">
        <v>1050</v>
      </c>
      <c r="C38" s="89">
        <v>0</v>
      </c>
      <c r="D38" s="89">
        <v>0</v>
      </c>
      <c r="E38" s="89">
        <v>0</v>
      </c>
      <c r="F38" s="94">
        <f t="shared" si="2"/>
        <v>0</v>
      </c>
      <c r="G38" s="89">
        <v>0</v>
      </c>
      <c r="H38" s="89">
        <v>0</v>
      </c>
      <c r="I38" s="89">
        <v>0</v>
      </c>
      <c r="J38" s="89">
        <v>0</v>
      </c>
      <c r="K38" s="84"/>
    </row>
    <row r="39" spans="1:11" s="2" customFormat="1" ht="20.100000000000001" customHeight="1">
      <c r="A39" s="8" t="s">
        <v>35</v>
      </c>
      <c r="B39" s="6" t="s">
        <v>256</v>
      </c>
      <c r="C39" s="89">
        <v>0</v>
      </c>
      <c r="D39" s="89">
        <v>0</v>
      </c>
      <c r="E39" s="89">
        <v>0</v>
      </c>
      <c r="F39" s="94">
        <f t="shared" si="2"/>
        <v>0</v>
      </c>
      <c r="G39" s="89">
        <v>0</v>
      </c>
      <c r="H39" s="89">
        <v>0</v>
      </c>
      <c r="I39" s="89">
        <v>0</v>
      </c>
      <c r="J39" s="89">
        <v>0</v>
      </c>
      <c r="K39" s="84"/>
    </row>
    <row r="40" spans="1:11" s="2" customFormat="1" ht="20.100000000000001" customHeight="1">
      <c r="A40" s="8" t="s">
        <v>91</v>
      </c>
      <c r="B40" s="9">
        <v>1051</v>
      </c>
      <c r="C40" s="89">
        <v>-300</v>
      </c>
      <c r="D40" s="89">
        <v>-639</v>
      </c>
      <c r="E40" s="89">
        <v>-471.5</v>
      </c>
      <c r="F40" s="94">
        <f t="shared" si="2"/>
        <v>-600</v>
      </c>
      <c r="G40" s="89">
        <v>-150</v>
      </c>
      <c r="H40" s="89">
        <v>-150</v>
      </c>
      <c r="I40" s="89">
        <v>-150</v>
      </c>
      <c r="J40" s="89">
        <v>-150</v>
      </c>
      <c r="K40" s="84"/>
    </row>
    <row r="41" spans="1:11" ht="20.100000000000001" customHeight="1">
      <c r="A41" s="8" t="s">
        <v>154</v>
      </c>
      <c r="B41" s="9">
        <v>1060</v>
      </c>
      <c r="C41" s="94">
        <f>SUM(C42:C48)</f>
        <v>-1312.097</v>
      </c>
      <c r="D41" s="94">
        <f t="shared" ref="D41:J41" si="3">SUM(D42:D48)</f>
        <v>-1028</v>
      </c>
      <c r="E41" s="94">
        <f>SUM(E42:E48)</f>
        <v>-1678.7599999999998</v>
      </c>
      <c r="F41" s="94">
        <f t="shared" si="2"/>
        <v>-3023.5</v>
      </c>
      <c r="G41" s="94">
        <f t="shared" si="3"/>
        <v>-706.3</v>
      </c>
      <c r="H41" s="94">
        <f t="shared" si="3"/>
        <v>-706</v>
      </c>
      <c r="I41" s="94">
        <f t="shared" si="3"/>
        <v>-761.6</v>
      </c>
      <c r="J41" s="94">
        <f t="shared" si="3"/>
        <v>-849.6</v>
      </c>
      <c r="K41" s="84"/>
    </row>
    <row r="42" spans="1:11" s="2" customFormat="1" ht="20.100000000000001" customHeight="1">
      <c r="A42" s="8" t="s">
        <v>122</v>
      </c>
      <c r="B42" s="9">
        <v>1061</v>
      </c>
      <c r="C42" s="89">
        <v>0</v>
      </c>
      <c r="D42" s="89">
        <v>0</v>
      </c>
      <c r="E42" s="89">
        <v>0</v>
      </c>
      <c r="F42" s="94">
        <f t="shared" si="2"/>
        <v>0</v>
      </c>
      <c r="G42" s="89">
        <v>0</v>
      </c>
      <c r="H42" s="89">
        <v>0</v>
      </c>
      <c r="I42" s="89">
        <v>0</v>
      </c>
      <c r="J42" s="89">
        <v>0</v>
      </c>
      <c r="K42" s="84"/>
    </row>
    <row r="43" spans="1:11" s="2" customFormat="1" ht="20.100000000000001" customHeight="1">
      <c r="A43" s="8" t="s">
        <v>123</v>
      </c>
      <c r="B43" s="9">
        <v>1062</v>
      </c>
      <c r="C43" s="89">
        <v>0</v>
      </c>
      <c r="D43" s="89">
        <v>0</v>
      </c>
      <c r="E43" s="89">
        <v>0</v>
      </c>
      <c r="F43" s="94">
        <f t="shared" si="2"/>
        <v>0</v>
      </c>
      <c r="G43" s="89">
        <v>0</v>
      </c>
      <c r="H43" s="89">
        <v>0</v>
      </c>
      <c r="I43" s="89">
        <v>0</v>
      </c>
      <c r="J43" s="89">
        <v>0</v>
      </c>
      <c r="K43" s="84"/>
    </row>
    <row r="44" spans="1:11" s="2" customFormat="1" ht="20.100000000000001" customHeight="1">
      <c r="A44" s="8" t="s">
        <v>24</v>
      </c>
      <c r="B44" s="9">
        <v>1063</v>
      </c>
      <c r="C44" s="89">
        <v>-948.09699999999998</v>
      </c>
      <c r="D44" s="89">
        <v>-716</v>
      </c>
      <c r="E44" s="89">
        <v>-1249.3</v>
      </c>
      <c r="F44" s="94">
        <f t="shared" si="2"/>
        <v>-2078</v>
      </c>
      <c r="G44" s="89">
        <v>-483</v>
      </c>
      <c r="H44" s="89">
        <v>-483</v>
      </c>
      <c r="I44" s="89">
        <v>-512</v>
      </c>
      <c r="J44" s="89">
        <v>-600</v>
      </c>
      <c r="K44" s="84"/>
    </row>
    <row r="45" spans="1:11" s="2" customFormat="1" ht="20.100000000000001" customHeight="1">
      <c r="A45" s="8" t="s">
        <v>25</v>
      </c>
      <c r="B45" s="9">
        <v>1064</v>
      </c>
      <c r="C45" s="89">
        <v>-202</v>
      </c>
      <c r="D45" s="89">
        <v>-157</v>
      </c>
      <c r="E45" s="89">
        <v>-274.89999999999998</v>
      </c>
      <c r="F45" s="94">
        <f t="shared" si="2"/>
        <v>-476.3</v>
      </c>
      <c r="G45" s="89">
        <v>-106.3</v>
      </c>
      <c r="H45" s="89">
        <v>-106</v>
      </c>
      <c r="I45" s="89">
        <v>-132</v>
      </c>
      <c r="J45" s="89">
        <v>-132</v>
      </c>
      <c r="K45" s="84"/>
    </row>
    <row r="46" spans="1:11" s="2" customFormat="1" ht="20.100000000000001" customHeight="1">
      <c r="A46" s="8" t="s">
        <v>47</v>
      </c>
      <c r="B46" s="9">
        <v>1065</v>
      </c>
      <c r="C46" s="89">
        <v>0</v>
      </c>
      <c r="D46" s="89">
        <v>-1</v>
      </c>
      <c r="E46" s="89">
        <v>-1</v>
      </c>
      <c r="F46" s="94">
        <f t="shared" si="2"/>
        <v>-32</v>
      </c>
      <c r="G46" s="89">
        <v>-8</v>
      </c>
      <c r="H46" s="89">
        <v>-8</v>
      </c>
      <c r="I46" s="89">
        <v>-8</v>
      </c>
      <c r="J46" s="89">
        <v>-8</v>
      </c>
      <c r="K46" s="84"/>
    </row>
    <row r="47" spans="1:11" s="2" customFormat="1" ht="20.100000000000001" customHeight="1">
      <c r="A47" s="8" t="s">
        <v>66</v>
      </c>
      <c r="B47" s="9">
        <v>1066</v>
      </c>
      <c r="C47" s="89">
        <v>0</v>
      </c>
      <c r="D47" s="89">
        <v>0</v>
      </c>
      <c r="E47" s="89">
        <v>0</v>
      </c>
      <c r="F47" s="94">
        <f t="shared" si="2"/>
        <v>0</v>
      </c>
      <c r="G47" s="89">
        <v>0</v>
      </c>
      <c r="H47" s="89">
        <v>0</v>
      </c>
      <c r="I47" s="89">
        <v>0</v>
      </c>
      <c r="J47" s="89">
        <v>0</v>
      </c>
      <c r="K47" s="84"/>
    </row>
    <row r="48" spans="1:11" s="2" customFormat="1" ht="20.100000000000001" customHeight="1">
      <c r="A48" s="8" t="s">
        <v>100</v>
      </c>
      <c r="B48" s="9">
        <v>1067</v>
      </c>
      <c r="C48" s="89">
        <v>-162</v>
      </c>
      <c r="D48" s="89">
        <v>-154</v>
      </c>
      <c r="E48" s="89">
        <v>-153.56</v>
      </c>
      <c r="F48" s="94">
        <f>SUM(G48:J48)</f>
        <v>-437.20000000000005</v>
      </c>
      <c r="G48" s="89">
        <v>-109</v>
      </c>
      <c r="H48" s="89">
        <v>-109</v>
      </c>
      <c r="I48" s="89">
        <v>-109.6</v>
      </c>
      <c r="J48" s="89">
        <v>-109.6</v>
      </c>
      <c r="K48" s="84"/>
    </row>
    <row r="49" spans="1:11" s="2" customFormat="1" ht="20.100000000000001" customHeight="1">
      <c r="A49" s="8" t="s">
        <v>257</v>
      </c>
      <c r="B49" s="9">
        <v>1070</v>
      </c>
      <c r="C49" s="94">
        <f>SUM(C50:C52)</f>
        <v>31085</v>
      </c>
      <c r="D49" s="94">
        <f t="shared" ref="D49:J49" si="4">SUM(D50:D52)</f>
        <v>14870</v>
      </c>
      <c r="E49" s="94">
        <f t="shared" si="4"/>
        <v>25586</v>
      </c>
      <c r="F49" s="94">
        <f t="shared" si="2"/>
        <v>25186.400000000001</v>
      </c>
      <c r="G49" s="94">
        <f t="shared" si="4"/>
        <v>9549</v>
      </c>
      <c r="H49" s="94">
        <f t="shared" si="4"/>
        <v>10249</v>
      </c>
      <c r="I49" s="94">
        <f t="shared" si="4"/>
        <v>3343.4</v>
      </c>
      <c r="J49" s="94">
        <f t="shared" si="4"/>
        <v>2045</v>
      </c>
      <c r="K49" s="84"/>
    </row>
    <row r="50" spans="1:11" s="2" customFormat="1" ht="20.100000000000001" customHeight="1">
      <c r="A50" s="8" t="s">
        <v>149</v>
      </c>
      <c r="B50" s="9">
        <v>1071</v>
      </c>
      <c r="C50" s="89">
        <v>0</v>
      </c>
      <c r="D50" s="89">
        <v>0</v>
      </c>
      <c r="E50" s="89">
        <v>0</v>
      </c>
      <c r="F50" s="94">
        <f t="shared" ref="F50:F57" si="5">SUM(G50:J50)</f>
        <v>0</v>
      </c>
      <c r="G50" s="89"/>
      <c r="H50" s="89"/>
      <c r="I50" s="89"/>
      <c r="J50" s="89"/>
      <c r="K50" s="84"/>
    </row>
    <row r="51" spans="1:11" s="2" customFormat="1" ht="20.100000000000001" customHeight="1">
      <c r="A51" s="8" t="s">
        <v>258</v>
      </c>
      <c r="B51" s="9">
        <v>1072</v>
      </c>
      <c r="C51" s="89">
        <v>0</v>
      </c>
      <c r="D51" s="89">
        <v>0</v>
      </c>
      <c r="E51" s="89">
        <v>0</v>
      </c>
      <c r="F51" s="94">
        <f t="shared" si="5"/>
        <v>0</v>
      </c>
      <c r="G51" s="89"/>
      <c r="H51" s="89"/>
      <c r="I51" s="89"/>
      <c r="J51" s="89"/>
      <c r="K51" s="84"/>
    </row>
    <row r="52" spans="1:11" s="2" customFormat="1" ht="20.100000000000001" customHeight="1">
      <c r="A52" s="8" t="s">
        <v>259</v>
      </c>
      <c r="B52" s="9">
        <v>1073</v>
      </c>
      <c r="C52" s="89">
        <v>31085</v>
      </c>
      <c r="D52" s="89">
        <v>14870</v>
      </c>
      <c r="E52" s="89">
        <v>25586</v>
      </c>
      <c r="F52" s="94">
        <f t="shared" si="5"/>
        <v>25186.400000000001</v>
      </c>
      <c r="G52" s="89">
        <v>9549</v>
      </c>
      <c r="H52" s="89">
        <v>10249</v>
      </c>
      <c r="I52" s="89">
        <v>3343.4</v>
      </c>
      <c r="J52" s="89">
        <v>2045</v>
      </c>
      <c r="K52" s="84"/>
    </row>
    <row r="53" spans="1:11" s="2" customFormat="1" ht="20.100000000000001" customHeight="1">
      <c r="A53" s="69" t="s">
        <v>68</v>
      </c>
      <c r="B53" s="9">
        <v>1080</v>
      </c>
      <c r="C53" s="94">
        <f>SUM(C54:C59)</f>
        <v>-26301</v>
      </c>
      <c r="D53" s="94">
        <f>SUM(D54:D59)</f>
        <v>-10211</v>
      </c>
      <c r="E53" s="94">
        <f>SUM(E54:E59)</f>
        <v>-26721</v>
      </c>
      <c r="F53" s="94">
        <f t="shared" si="2"/>
        <v>-26094.7</v>
      </c>
      <c r="G53" s="94">
        <f>SUM(G54:G59)</f>
        <v>-10726.7</v>
      </c>
      <c r="H53" s="94">
        <f>SUM(H54:H59)</f>
        <v>-10102</v>
      </c>
      <c r="I53" s="94">
        <f>SUM(I54:I59)</f>
        <v>-2633</v>
      </c>
      <c r="J53" s="94">
        <f>SUM(J54:J59)</f>
        <v>-2633</v>
      </c>
      <c r="K53" s="84"/>
    </row>
    <row r="54" spans="1:11" s="2" customFormat="1" ht="20.100000000000001" customHeight="1">
      <c r="A54" s="8" t="s">
        <v>149</v>
      </c>
      <c r="B54" s="9">
        <v>1081</v>
      </c>
      <c r="C54" s="89">
        <v>0</v>
      </c>
      <c r="D54" s="89">
        <v>0</v>
      </c>
      <c r="E54" s="89">
        <v>0</v>
      </c>
      <c r="F54" s="94">
        <f t="shared" si="5"/>
        <v>0</v>
      </c>
      <c r="G54" s="89">
        <v>0</v>
      </c>
      <c r="H54" s="89">
        <v>0</v>
      </c>
      <c r="I54" s="89">
        <v>0</v>
      </c>
      <c r="J54" s="89">
        <v>0</v>
      </c>
      <c r="K54" s="84"/>
    </row>
    <row r="55" spans="1:11" s="2" customFormat="1" ht="20.100000000000001" customHeight="1">
      <c r="A55" s="8" t="s">
        <v>260</v>
      </c>
      <c r="B55" s="9">
        <v>1082</v>
      </c>
      <c r="C55" s="89">
        <v>0</v>
      </c>
      <c r="D55" s="89">
        <v>0</v>
      </c>
      <c r="E55" s="89">
        <v>0</v>
      </c>
      <c r="F55" s="94">
        <f t="shared" si="5"/>
        <v>0</v>
      </c>
      <c r="G55" s="89">
        <v>0</v>
      </c>
      <c r="H55" s="89">
        <v>0</v>
      </c>
      <c r="I55" s="89">
        <v>0</v>
      </c>
      <c r="J55" s="89">
        <v>0</v>
      </c>
      <c r="K55" s="84"/>
    </row>
    <row r="56" spans="1:11" s="2" customFormat="1" ht="20.100000000000001" customHeight="1">
      <c r="A56" s="8" t="s">
        <v>54</v>
      </c>
      <c r="B56" s="9">
        <v>1083</v>
      </c>
      <c r="C56" s="89">
        <v>0</v>
      </c>
      <c r="D56" s="89">
        <v>0</v>
      </c>
      <c r="E56" s="89">
        <v>0</v>
      </c>
      <c r="F56" s="94">
        <f t="shared" si="5"/>
        <v>0</v>
      </c>
      <c r="G56" s="89">
        <v>0</v>
      </c>
      <c r="H56" s="89">
        <v>0</v>
      </c>
      <c r="I56" s="89">
        <v>0</v>
      </c>
      <c r="J56" s="89">
        <v>0</v>
      </c>
      <c r="K56" s="84"/>
    </row>
    <row r="57" spans="1:11" s="2" customFormat="1" ht="20.100000000000001" customHeight="1">
      <c r="A57" s="8" t="s">
        <v>36</v>
      </c>
      <c r="B57" s="9">
        <v>1084</v>
      </c>
      <c r="C57" s="89">
        <v>0</v>
      </c>
      <c r="D57" s="89">
        <v>0</v>
      </c>
      <c r="E57" s="89">
        <v>0</v>
      </c>
      <c r="F57" s="94">
        <f t="shared" si="5"/>
        <v>0</v>
      </c>
      <c r="G57" s="89">
        <v>0</v>
      </c>
      <c r="H57" s="89">
        <v>0</v>
      </c>
      <c r="I57" s="89">
        <v>0</v>
      </c>
      <c r="J57" s="89">
        <v>0</v>
      </c>
      <c r="K57" s="84"/>
    </row>
    <row r="58" spans="1:11" s="2" customFormat="1" ht="20.100000000000001" customHeight="1">
      <c r="A58" s="8" t="s">
        <v>45</v>
      </c>
      <c r="B58" s="9">
        <v>1085</v>
      </c>
      <c r="C58" s="89">
        <v>0</v>
      </c>
      <c r="D58" s="89">
        <v>0</v>
      </c>
      <c r="E58" s="89">
        <v>0</v>
      </c>
      <c r="F58" s="94">
        <f t="shared" si="2"/>
        <v>0</v>
      </c>
      <c r="G58" s="89">
        <v>0</v>
      </c>
      <c r="H58" s="89">
        <v>0</v>
      </c>
      <c r="I58" s="89">
        <v>0</v>
      </c>
      <c r="J58" s="89">
        <v>0</v>
      </c>
      <c r="K58" s="84"/>
    </row>
    <row r="59" spans="1:11" s="2" customFormat="1" ht="20.100000000000001" customHeight="1">
      <c r="A59" s="8" t="s">
        <v>162</v>
      </c>
      <c r="B59" s="9">
        <v>1086</v>
      </c>
      <c r="C59" s="89">
        <v>-26301</v>
      </c>
      <c r="D59" s="89">
        <v>-10211</v>
      </c>
      <c r="E59" s="89">
        <v>-26721</v>
      </c>
      <c r="F59" s="94">
        <f t="shared" si="2"/>
        <v>-26094.7</v>
      </c>
      <c r="G59" s="89">
        <v>-10726.7</v>
      </c>
      <c r="H59" s="89">
        <v>-10102</v>
      </c>
      <c r="I59" s="89">
        <v>-2633</v>
      </c>
      <c r="J59" s="89">
        <v>-2633</v>
      </c>
      <c r="K59" s="84"/>
    </row>
    <row r="60" spans="1:11" s="5" customFormat="1" ht="20.100000000000001" customHeight="1">
      <c r="A60" s="10" t="s">
        <v>4</v>
      </c>
      <c r="B60" s="11">
        <v>1100</v>
      </c>
      <c r="C60" s="122">
        <v>-15562</v>
      </c>
      <c r="D60" s="122">
        <f t="shared" ref="D60:J60" si="6">SUM(D17,D18,D41,D49,D53)</f>
        <v>300</v>
      </c>
      <c r="E60" s="122">
        <f t="shared" si="6"/>
        <v>701.58300000000236</v>
      </c>
      <c r="F60" s="122">
        <f t="shared" si="6"/>
        <v>1274.7400000000016</v>
      </c>
      <c r="G60" s="122">
        <f t="shared" si="6"/>
        <v>314.11999999999898</v>
      </c>
      <c r="H60" s="122">
        <f t="shared" si="6"/>
        <v>183.95000000000073</v>
      </c>
      <c r="I60" s="122">
        <f t="shared" si="6"/>
        <v>352.52</v>
      </c>
      <c r="J60" s="122">
        <f t="shared" si="6"/>
        <v>424.15000000000009</v>
      </c>
      <c r="K60" s="85"/>
    </row>
    <row r="61" spans="1:11" ht="20.100000000000001" customHeight="1">
      <c r="A61" s="8" t="s">
        <v>89</v>
      </c>
      <c r="B61" s="9">
        <v>1110</v>
      </c>
      <c r="C61" s="89">
        <v>0</v>
      </c>
      <c r="D61" s="89">
        <v>0</v>
      </c>
      <c r="E61" s="89">
        <v>0</v>
      </c>
      <c r="F61" s="94">
        <f t="shared" si="2"/>
        <v>0</v>
      </c>
      <c r="G61" s="89">
        <v>0</v>
      </c>
      <c r="H61" s="89">
        <v>0</v>
      </c>
      <c r="I61" s="89">
        <v>0</v>
      </c>
      <c r="J61" s="89">
        <v>0</v>
      </c>
      <c r="K61" s="84"/>
    </row>
    <row r="62" spans="1:11" ht="20.100000000000001" customHeight="1">
      <c r="A62" s="8" t="s">
        <v>93</v>
      </c>
      <c r="B62" s="9">
        <v>1120</v>
      </c>
      <c r="C62" s="89">
        <v>0</v>
      </c>
      <c r="D62" s="89">
        <v>0</v>
      </c>
      <c r="E62" s="89">
        <v>0</v>
      </c>
      <c r="F62" s="94">
        <f>SUM(G62:J62)</f>
        <v>0</v>
      </c>
      <c r="G62" s="89">
        <v>0</v>
      </c>
      <c r="H62" s="89">
        <v>0</v>
      </c>
      <c r="I62" s="89">
        <v>0</v>
      </c>
      <c r="J62" s="89">
        <v>0</v>
      </c>
      <c r="K62" s="84"/>
    </row>
    <row r="63" spans="1:11" ht="20.100000000000001" customHeight="1">
      <c r="A63" s="8" t="s">
        <v>90</v>
      </c>
      <c r="B63" s="9">
        <v>1130</v>
      </c>
      <c r="C63" s="89">
        <v>0</v>
      </c>
      <c r="D63" s="89">
        <v>0</v>
      </c>
      <c r="E63" s="89">
        <v>0</v>
      </c>
      <c r="F63" s="94">
        <f t="shared" si="2"/>
        <v>0</v>
      </c>
      <c r="G63" s="89">
        <v>0</v>
      </c>
      <c r="H63" s="89">
        <v>0</v>
      </c>
      <c r="I63" s="89">
        <v>0</v>
      </c>
      <c r="J63" s="89">
        <v>0</v>
      </c>
      <c r="K63" s="84"/>
    </row>
    <row r="64" spans="1:11" ht="20.100000000000001" customHeight="1">
      <c r="A64" s="8" t="s">
        <v>92</v>
      </c>
      <c r="B64" s="9">
        <v>1140</v>
      </c>
      <c r="C64" s="89">
        <v>0</v>
      </c>
      <c r="D64" s="89">
        <v>0</v>
      </c>
      <c r="E64" s="89">
        <v>0</v>
      </c>
      <c r="F64" s="94">
        <f>SUM(G64:J64)</f>
        <v>0</v>
      </c>
      <c r="G64" s="89">
        <v>0</v>
      </c>
      <c r="H64" s="89">
        <v>0</v>
      </c>
      <c r="I64" s="89">
        <v>0</v>
      </c>
      <c r="J64" s="89">
        <v>0</v>
      </c>
      <c r="K64" s="84"/>
    </row>
    <row r="65" spans="1:11" ht="20.100000000000001" customHeight="1">
      <c r="A65" s="8" t="s">
        <v>218</v>
      </c>
      <c r="B65" s="9">
        <v>1150</v>
      </c>
      <c r="C65" s="94">
        <f>SUM(C66:C67)</f>
        <v>35943</v>
      </c>
      <c r="D65" s="94">
        <f t="shared" ref="D65:J65" si="7">SUM(D66:D67)</f>
        <v>32968</v>
      </c>
      <c r="E65" s="94">
        <f t="shared" si="7"/>
        <v>35943</v>
      </c>
      <c r="F65" s="94">
        <f t="shared" si="2"/>
        <v>35943</v>
      </c>
      <c r="G65" s="94">
        <f t="shared" si="7"/>
        <v>8985</v>
      </c>
      <c r="H65" s="94">
        <f t="shared" si="7"/>
        <v>8985</v>
      </c>
      <c r="I65" s="94">
        <f t="shared" si="7"/>
        <v>8986</v>
      </c>
      <c r="J65" s="94">
        <f t="shared" si="7"/>
        <v>8987</v>
      </c>
      <c r="K65" s="84"/>
    </row>
    <row r="66" spans="1:11" ht="20.100000000000001" customHeight="1">
      <c r="A66" s="8" t="s">
        <v>149</v>
      </c>
      <c r="B66" s="9">
        <v>1151</v>
      </c>
      <c r="C66" s="89">
        <v>0</v>
      </c>
      <c r="D66" s="89">
        <v>0</v>
      </c>
      <c r="E66" s="89">
        <v>0</v>
      </c>
      <c r="F66" s="94">
        <f t="shared" si="2"/>
        <v>0</v>
      </c>
      <c r="G66" s="89"/>
      <c r="H66" s="89"/>
      <c r="I66" s="89"/>
      <c r="J66" s="89"/>
      <c r="K66" s="84"/>
    </row>
    <row r="67" spans="1:11" ht="20.100000000000001" customHeight="1">
      <c r="A67" s="8" t="s">
        <v>261</v>
      </c>
      <c r="B67" s="9">
        <v>1152</v>
      </c>
      <c r="C67" s="89">
        <v>35943</v>
      </c>
      <c r="D67" s="89">
        <v>32968</v>
      </c>
      <c r="E67" s="89">
        <v>35943</v>
      </c>
      <c r="F67" s="94">
        <f t="shared" si="2"/>
        <v>35943</v>
      </c>
      <c r="G67" s="89">
        <v>8985</v>
      </c>
      <c r="H67" s="89">
        <v>8985</v>
      </c>
      <c r="I67" s="89">
        <v>8986</v>
      </c>
      <c r="J67" s="89">
        <v>8987</v>
      </c>
      <c r="K67" s="84"/>
    </row>
    <row r="68" spans="1:11" ht="20.100000000000001" customHeight="1">
      <c r="A68" s="8" t="s">
        <v>262</v>
      </c>
      <c r="B68" s="9">
        <v>1160</v>
      </c>
      <c r="C68" s="94">
        <f>SUM(C69:C70)</f>
        <v>-36256</v>
      </c>
      <c r="D68" s="94">
        <f t="shared" ref="D68:J68" si="8">SUM(D69:D70)</f>
        <v>-32968</v>
      </c>
      <c r="E68" s="94">
        <f t="shared" si="8"/>
        <v>-36256</v>
      </c>
      <c r="F68" s="94">
        <f t="shared" si="2"/>
        <v>-36256</v>
      </c>
      <c r="G68" s="94">
        <f t="shared" si="8"/>
        <v>-9064</v>
      </c>
      <c r="H68" s="94">
        <f t="shared" si="8"/>
        <v>-9064</v>
      </c>
      <c r="I68" s="94">
        <f t="shared" si="8"/>
        <v>-9064</v>
      </c>
      <c r="J68" s="94">
        <f t="shared" si="8"/>
        <v>-9064</v>
      </c>
      <c r="K68" s="84"/>
    </row>
    <row r="69" spans="1:11" ht="20.100000000000001" customHeight="1">
      <c r="A69" s="8" t="s">
        <v>149</v>
      </c>
      <c r="B69" s="9">
        <v>1161</v>
      </c>
      <c r="C69" s="89">
        <v>0</v>
      </c>
      <c r="D69" s="89">
        <v>0</v>
      </c>
      <c r="E69" s="89">
        <v>0</v>
      </c>
      <c r="F69" s="94">
        <f>SUM(G69:J69)</f>
        <v>0</v>
      </c>
      <c r="G69" s="89">
        <v>0</v>
      </c>
      <c r="H69" s="89">
        <v>0</v>
      </c>
      <c r="I69" s="89">
        <v>0</v>
      </c>
      <c r="J69" s="89">
        <v>0</v>
      </c>
      <c r="K69" s="84"/>
    </row>
    <row r="70" spans="1:11" ht="20.100000000000001" customHeight="1">
      <c r="A70" s="8" t="s">
        <v>99</v>
      </c>
      <c r="B70" s="9">
        <v>1162</v>
      </c>
      <c r="C70" s="89">
        <v>-36256</v>
      </c>
      <c r="D70" s="89">
        <v>-32968</v>
      </c>
      <c r="E70" s="89">
        <v>-36256</v>
      </c>
      <c r="F70" s="94">
        <f>SUM(G70:J70)</f>
        <v>-36256</v>
      </c>
      <c r="G70" s="89">
        <v>-9064</v>
      </c>
      <c r="H70" s="89">
        <v>-9064</v>
      </c>
      <c r="I70" s="89">
        <v>-9064</v>
      </c>
      <c r="J70" s="89">
        <v>-9064</v>
      </c>
      <c r="K70" s="84"/>
    </row>
    <row r="71" spans="1:11" s="5" customFormat="1" ht="20.100000000000001" customHeight="1">
      <c r="A71" s="10" t="s">
        <v>81</v>
      </c>
      <c r="B71" s="11">
        <v>1170</v>
      </c>
      <c r="C71" s="122">
        <f>SUM(C60,C61,C62,C63,C64,C65,C68)</f>
        <v>-15875</v>
      </c>
      <c r="D71" s="122">
        <f t="shared" ref="D71:J71" si="9">SUM(D60,D61,D62,D63,D64,D65,D68)</f>
        <v>300</v>
      </c>
      <c r="E71" s="122">
        <f t="shared" si="9"/>
        <v>388.58299999999872</v>
      </c>
      <c r="F71" s="122">
        <f t="shared" si="9"/>
        <v>961.74000000000524</v>
      </c>
      <c r="G71" s="122">
        <f t="shared" si="9"/>
        <v>235.11999999999898</v>
      </c>
      <c r="H71" s="122">
        <f t="shared" si="9"/>
        <v>104.95000000000073</v>
      </c>
      <c r="I71" s="122">
        <f t="shared" si="9"/>
        <v>274.52000000000044</v>
      </c>
      <c r="J71" s="122">
        <f t="shared" si="9"/>
        <v>347.14999999999964</v>
      </c>
      <c r="K71" s="85"/>
    </row>
    <row r="72" spans="1:11" s="5" customFormat="1" ht="20.100000000000001" customHeight="1">
      <c r="A72" s="8" t="s">
        <v>221</v>
      </c>
      <c r="B72" s="7">
        <v>1180</v>
      </c>
      <c r="C72" s="89">
        <v>0</v>
      </c>
      <c r="D72" s="89">
        <v>-20</v>
      </c>
      <c r="E72" s="89">
        <v>-70</v>
      </c>
      <c r="F72" s="94">
        <f t="shared" si="2"/>
        <v>-173.2</v>
      </c>
      <c r="G72" s="89">
        <v>-42.3</v>
      </c>
      <c r="H72" s="89">
        <v>-18.899999999999999</v>
      </c>
      <c r="I72" s="89">
        <v>-49.5</v>
      </c>
      <c r="J72" s="89">
        <v>-62.5</v>
      </c>
      <c r="K72" s="85"/>
    </row>
    <row r="73" spans="1:11" s="5" customFormat="1" ht="20.100000000000001" customHeight="1">
      <c r="A73" s="8" t="s">
        <v>222</v>
      </c>
      <c r="B73" s="7">
        <v>1181</v>
      </c>
      <c r="C73" s="89">
        <v>0</v>
      </c>
      <c r="D73" s="89">
        <v>0</v>
      </c>
      <c r="E73" s="89">
        <v>0</v>
      </c>
      <c r="F73" s="94">
        <f t="shared" si="2"/>
        <v>0</v>
      </c>
      <c r="G73" s="89">
        <v>0</v>
      </c>
      <c r="H73" s="89">
        <v>0</v>
      </c>
      <c r="I73" s="89">
        <v>0</v>
      </c>
      <c r="J73" s="89">
        <v>0</v>
      </c>
      <c r="K73" s="85"/>
    </row>
    <row r="74" spans="1:11" ht="20.100000000000001" customHeight="1">
      <c r="A74" s="8" t="s">
        <v>223</v>
      </c>
      <c r="B74" s="9">
        <v>1190</v>
      </c>
      <c r="C74" s="89">
        <v>0</v>
      </c>
      <c r="D74" s="89">
        <v>0</v>
      </c>
      <c r="E74" s="89">
        <v>0</v>
      </c>
      <c r="F74" s="94">
        <f>SUM(G74:J74)</f>
        <v>0</v>
      </c>
      <c r="G74" s="89">
        <v>0</v>
      </c>
      <c r="H74" s="89">
        <v>0</v>
      </c>
      <c r="I74" s="89">
        <v>0</v>
      </c>
      <c r="J74" s="89">
        <v>0</v>
      </c>
      <c r="K74" s="84"/>
    </row>
    <row r="75" spans="1:11" ht="20.100000000000001" customHeight="1">
      <c r="A75" s="8" t="s">
        <v>224</v>
      </c>
      <c r="B75" s="6">
        <v>1191</v>
      </c>
      <c r="C75" s="89">
        <v>0</v>
      </c>
      <c r="D75" s="89">
        <v>0</v>
      </c>
      <c r="E75" s="89">
        <v>0</v>
      </c>
      <c r="F75" s="94">
        <f>SUM(G75:J75)</f>
        <v>0</v>
      </c>
      <c r="G75" s="89">
        <v>0</v>
      </c>
      <c r="H75" s="89">
        <v>0</v>
      </c>
      <c r="I75" s="89">
        <v>0</v>
      </c>
      <c r="J75" s="89">
        <v>0</v>
      </c>
      <c r="K75" s="84"/>
    </row>
    <row r="76" spans="1:11" s="5" customFormat="1" ht="20.100000000000001" customHeight="1">
      <c r="A76" s="10" t="s">
        <v>333</v>
      </c>
      <c r="B76" s="11">
        <v>1200</v>
      </c>
      <c r="C76" s="122">
        <f>SUM(C71,C72,C73,C74,C75)</f>
        <v>-15875</v>
      </c>
      <c r="D76" s="122">
        <f t="shared" ref="D76:J76" si="10">SUM(D71,D72,D73,D74,D75)</f>
        <v>280</v>
      </c>
      <c r="E76" s="122">
        <f t="shared" si="10"/>
        <v>318.58299999999872</v>
      </c>
      <c r="F76" s="122">
        <f t="shared" si="10"/>
        <v>788.54000000000519</v>
      </c>
      <c r="G76" s="122">
        <f t="shared" si="10"/>
        <v>192.81999999999897</v>
      </c>
      <c r="H76" s="122">
        <f t="shared" si="10"/>
        <v>86.050000000000722</v>
      </c>
      <c r="I76" s="122">
        <f t="shared" si="10"/>
        <v>225.02000000000044</v>
      </c>
      <c r="J76" s="122">
        <f t="shared" si="10"/>
        <v>284.64999999999964</v>
      </c>
      <c r="K76" s="85"/>
    </row>
    <row r="77" spans="1:11" ht="20.100000000000001" customHeight="1">
      <c r="A77" s="8" t="s">
        <v>13</v>
      </c>
      <c r="B77" s="6">
        <v>1201</v>
      </c>
      <c r="C77" s="89">
        <v>0</v>
      </c>
      <c r="D77" s="89">
        <f>D76</f>
        <v>280</v>
      </c>
      <c r="E77" s="89">
        <f>E76</f>
        <v>318.58299999999872</v>
      </c>
      <c r="F77" s="94">
        <f>SUM(G77:J77)</f>
        <v>788.53999999999974</v>
      </c>
      <c r="G77" s="89">
        <f>G76</f>
        <v>192.81999999999897</v>
      </c>
      <c r="H77" s="89">
        <f>H76</f>
        <v>86.050000000000722</v>
      </c>
      <c r="I77" s="89">
        <f>I76</f>
        <v>225.02000000000044</v>
      </c>
      <c r="J77" s="89">
        <f>J76</f>
        <v>284.64999999999964</v>
      </c>
      <c r="K77" s="84"/>
    </row>
    <row r="78" spans="1:11" ht="20.100000000000001" customHeight="1">
      <c r="A78" s="8" t="s">
        <v>14</v>
      </c>
      <c r="B78" s="6">
        <v>1202</v>
      </c>
      <c r="C78" s="89">
        <f>C76</f>
        <v>-15875</v>
      </c>
      <c r="D78" s="89">
        <v>0</v>
      </c>
      <c r="E78" s="89">
        <v>0</v>
      </c>
      <c r="F78" s="94">
        <f>SUM(G78:J78)</f>
        <v>0</v>
      </c>
      <c r="G78" s="89">
        <v>0</v>
      </c>
      <c r="H78" s="89">
        <v>0</v>
      </c>
      <c r="I78" s="89">
        <v>0</v>
      </c>
      <c r="J78" s="89">
        <v>0</v>
      </c>
      <c r="K78" s="84"/>
    </row>
    <row r="79" spans="1:11" ht="20.100000000000001" customHeight="1">
      <c r="A79" s="10" t="s">
        <v>9</v>
      </c>
      <c r="B79" s="9">
        <v>1210</v>
      </c>
      <c r="C79" s="125">
        <f>SUM(C7,C49,C61,C63,C65,C73,C74)</f>
        <v>109567</v>
      </c>
      <c r="D79" s="125">
        <f t="shared" ref="D79:J79" si="11">SUM(D7,D49,D61,D63,D65,D73,D74)</f>
        <v>101978</v>
      </c>
      <c r="E79" s="125">
        <f t="shared" si="11"/>
        <v>137322.6</v>
      </c>
      <c r="F79" s="125">
        <f t="shared" si="11"/>
        <v>157020.4</v>
      </c>
      <c r="G79" s="125">
        <f t="shared" si="11"/>
        <v>43305</v>
      </c>
      <c r="H79" s="125">
        <f t="shared" si="11"/>
        <v>39483</v>
      </c>
      <c r="I79" s="125">
        <f t="shared" si="11"/>
        <v>34329.4</v>
      </c>
      <c r="J79" s="125">
        <f t="shared" si="11"/>
        <v>39903</v>
      </c>
      <c r="K79" s="84"/>
    </row>
    <row r="80" spans="1:11" ht="20.100000000000001" customHeight="1">
      <c r="A80" s="10" t="s">
        <v>96</v>
      </c>
      <c r="B80" s="9">
        <v>1220</v>
      </c>
      <c r="C80" s="125">
        <v>-125442</v>
      </c>
      <c r="D80" s="125">
        <f t="shared" ref="D80:J80" si="12">SUM(D8,D18,D41,D53,D62,D64,D68,D72,D75)</f>
        <v>-101698</v>
      </c>
      <c r="E80" s="125">
        <f t="shared" si="12"/>
        <v>-137004.01699999999</v>
      </c>
      <c r="F80" s="125">
        <f t="shared" si="12"/>
        <v>-156231.85999999999</v>
      </c>
      <c r="G80" s="125">
        <f t="shared" si="12"/>
        <v>-43112.180000000008</v>
      </c>
      <c r="H80" s="125">
        <f t="shared" si="12"/>
        <v>-39396.950000000004</v>
      </c>
      <c r="I80" s="125">
        <f t="shared" si="12"/>
        <v>-34104.379999999997</v>
      </c>
      <c r="J80" s="125">
        <f t="shared" si="12"/>
        <v>-39618.35</v>
      </c>
      <c r="K80" s="84"/>
    </row>
    <row r="81" spans="1:11" ht="19.5" customHeight="1">
      <c r="A81" s="8" t="s">
        <v>163</v>
      </c>
      <c r="B81" s="9">
        <v>1230</v>
      </c>
      <c r="C81" s="89">
        <v>0</v>
      </c>
      <c r="D81" s="89">
        <v>0</v>
      </c>
      <c r="E81" s="89">
        <v>0</v>
      </c>
      <c r="F81" s="94">
        <f>SUM(G81:J81)</f>
        <v>0</v>
      </c>
      <c r="G81" s="89">
        <v>0</v>
      </c>
      <c r="H81" s="89">
        <v>0</v>
      </c>
      <c r="I81" s="89">
        <v>0</v>
      </c>
      <c r="J81" s="89">
        <v>0</v>
      </c>
      <c r="K81" s="84"/>
    </row>
    <row r="82" spans="1:11" ht="20.100000000000001" customHeight="1">
      <c r="A82" s="228" t="s">
        <v>115</v>
      </c>
      <c r="B82" s="229"/>
      <c r="C82" s="229"/>
      <c r="D82" s="229"/>
      <c r="E82" s="229"/>
      <c r="F82" s="229"/>
      <c r="G82" s="229"/>
      <c r="H82" s="229"/>
      <c r="I82" s="229"/>
      <c r="J82" s="229"/>
      <c r="K82" s="230"/>
    </row>
    <row r="83" spans="1:11" ht="20.100000000000001" customHeight="1">
      <c r="A83" s="8" t="s">
        <v>263</v>
      </c>
      <c r="B83" s="9">
        <v>1300</v>
      </c>
      <c r="C83" s="94">
        <f>C60</f>
        <v>-15562</v>
      </c>
      <c r="D83" s="94">
        <f>D60</f>
        <v>300</v>
      </c>
      <c r="E83" s="94">
        <f>E60</f>
        <v>701.58300000000236</v>
      </c>
      <c r="F83" s="94">
        <f t="shared" ref="F83:F88" si="13">SUM(G83:J83)</f>
        <v>1274.7399999999998</v>
      </c>
      <c r="G83" s="94">
        <f>G60</f>
        <v>314.11999999999898</v>
      </c>
      <c r="H83" s="94">
        <f>H60</f>
        <v>183.95000000000073</v>
      </c>
      <c r="I83" s="94">
        <f>I60</f>
        <v>352.52</v>
      </c>
      <c r="J83" s="94">
        <f>J60</f>
        <v>424.15000000000009</v>
      </c>
      <c r="K83" s="84"/>
    </row>
    <row r="84" spans="1:11" ht="20.100000000000001" customHeight="1">
      <c r="A84" s="8" t="s">
        <v>300</v>
      </c>
      <c r="B84" s="9">
        <v>1301</v>
      </c>
      <c r="C84" s="94">
        <f>C96</f>
        <v>1864</v>
      </c>
      <c r="D84" s="94">
        <f>D96</f>
        <v>2011</v>
      </c>
      <c r="E84" s="94">
        <f>E96</f>
        <v>1957.2</v>
      </c>
      <c r="F84" s="94">
        <f t="shared" si="13"/>
        <v>1932</v>
      </c>
      <c r="G84" s="94">
        <f>G96</f>
        <v>483</v>
      </c>
      <c r="H84" s="94">
        <f>H96</f>
        <v>483</v>
      </c>
      <c r="I84" s="94">
        <f>I96</f>
        <v>483</v>
      </c>
      <c r="J84" s="94">
        <f>J96</f>
        <v>483</v>
      </c>
      <c r="K84" s="84"/>
    </row>
    <row r="85" spans="1:11" ht="20.100000000000001" customHeight="1">
      <c r="A85" s="8" t="s">
        <v>301</v>
      </c>
      <c r="B85" s="9">
        <v>1302</v>
      </c>
      <c r="C85" s="136">
        <v>0</v>
      </c>
      <c r="D85" s="94">
        <v>0</v>
      </c>
      <c r="E85" s="94">
        <f t="shared" ref="E85:J85" si="14">E50</f>
        <v>0</v>
      </c>
      <c r="F85" s="94">
        <f t="shared" si="13"/>
        <v>0</v>
      </c>
      <c r="G85" s="94">
        <f t="shared" si="14"/>
        <v>0</v>
      </c>
      <c r="H85" s="94">
        <f t="shared" si="14"/>
        <v>0</v>
      </c>
      <c r="I85" s="94">
        <f t="shared" si="14"/>
        <v>0</v>
      </c>
      <c r="J85" s="94">
        <f t="shared" si="14"/>
        <v>0</v>
      </c>
      <c r="K85" s="84"/>
    </row>
    <row r="86" spans="1:11" ht="20.100000000000001" customHeight="1">
      <c r="A86" s="8" t="s">
        <v>302</v>
      </c>
      <c r="B86" s="9">
        <v>1303</v>
      </c>
      <c r="C86" s="94">
        <v>0</v>
      </c>
      <c r="D86" s="94">
        <v>0</v>
      </c>
      <c r="E86" s="94">
        <f>E54</f>
        <v>0</v>
      </c>
      <c r="F86" s="94">
        <f t="shared" si="13"/>
        <v>0</v>
      </c>
      <c r="G86" s="94">
        <v>0</v>
      </c>
      <c r="H86" s="94">
        <v>0</v>
      </c>
      <c r="I86" s="94">
        <v>0</v>
      </c>
      <c r="J86" s="94">
        <v>0</v>
      </c>
      <c r="K86" s="84"/>
    </row>
    <row r="87" spans="1:11" ht="20.100000000000001" customHeight="1">
      <c r="A87" s="8" t="s">
        <v>303</v>
      </c>
      <c r="B87" s="9">
        <v>1304</v>
      </c>
      <c r="C87" s="94">
        <v>0</v>
      </c>
      <c r="D87" s="94">
        <v>0</v>
      </c>
      <c r="E87" s="94">
        <f>E51</f>
        <v>0</v>
      </c>
      <c r="F87" s="94">
        <f t="shared" si="13"/>
        <v>0</v>
      </c>
      <c r="G87" s="94">
        <v>0</v>
      </c>
      <c r="H87" s="94">
        <v>0</v>
      </c>
      <c r="I87" s="94">
        <v>0</v>
      </c>
      <c r="J87" s="94">
        <v>0</v>
      </c>
      <c r="K87" s="84"/>
    </row>
    <row r="88" spans="1:11" ht="20.100000000000001" customHeight="1">
      <c r="A88" s="8" t="s">
        <v>304</v>
      </c>
      <c r="B88" s="9">
        <v>1305</v>
      </c>
      <c r="C88" s="94">
        <v>0</v>
      </c>
      <c r="D88" s="94">
        <v>0</v>
      </c>
      <c r="E88" s="94">
        <f>E55</f>
        <v>0</v>
      </c>
      <c r="F88" s="94">
        <f t="shared" si="13"/>
        <v>0</v>
      </c>
      <c r="G88" s="94">
        <v>0</v>
      </c>
      <c r="H88" s="94">
        <v>0</v>
      </c>
      <c r="I88" s="94">
        <v>0</v>
      </c>
      <c r="J88" s="94">
        <v>0</v>
      </c>
      <c r="K88" s="84"/>
    </row>
    <row r="89" spans="1:11" s="5" customFormat="1" ht="20.100000000000001" customHeight="1">
      <c r="A89" s="10" t="s">
        <v>108</v>
      </c>
      <c r="B89" s="11">
        <v>1310</v>
      </c>
      <c r="C89" s="124">
        <f t="shared" ref="C89:J89" si="15">C83+C84-C85-C86-C87-C88</f>
        <v>-13698</v>
      </c>
      <c r="D89" s="124">
        <f t="shared" si="15"/>
        <v>2311</v>
      </c>
      <c r="E89" s="124">
        <f t="shared" si="15"/>
        <v>2658.7830000000022</v>
      </c>
      <c r="F89" s="124">
        <f t="shared" si="15"/>
        <v>3206.74</v>
      </c>
      <c r="G89" s="124">
        <f t="shared" si="15"/>
        <v>797.11999999999898</v>
      </c>
      <c r="H89" s="124">
        <f t="shared" si="15"/>
        <v>666.95000000000073</v>
      </c>
      <c r="I89" s="124">
        <f t="shared" si="15"/>
        <v>835.52</v>
      </c>
      <c r="J89" s="124">
        <f t="shared" si="15"/>
        <v>907.15000000000009</v>
      </c>
      <c r="K89" s="85"/>
    </row>
    <row r="90" spans="1:11" ht="20.100000000000001" customHeight="1">
      <c r="A90" s="227" t="s">
        <v>158</v>
      </c>
      <c r="B90" s="227"/>
      <c r="C90" s="227"/>
      <c r="D90" s="227"/>
      <c r="E90" s="227"/>
      <c r="F90" s="227"/>
      <c r="G90" s="227"/>
      <c r="H90" s="227"/>
      <c r="I90" s="227"/>
      <c r="J90" s="227"/>
      <c r="K90" s="227"/>
    </row>
    <row r="91" spans="1:11" ht="20.100000000000001" customHeight="1">
      <c r="A91" s="8" t="s">
        <v>186</v>
      </c>
      <c r="B91" s="9">
        <v>1400</v>
      </c>
      <c r="C91" s="89">
        <f>C92+C93</f>
        <v>9374</v>
      </c>
      <c r="D91" s="89">
        <f>D92+D93</f>
        <v>11447</v>
      </c>
      <c r="E91" s="89">
        <f>E92+E93</f>
        <v>9842.6999999999989</v>
      </c>
      <c r="F91" s="94">
        <f t="shared" ref="F91:F98" si="16">SUM(G91:J91)</f>
        <v>8172</v>
      </c>
      <c r="G91" s="89">
        <f>G92+G93</f>
        <v>2043</v>
      </c>
      <c r="H91" s="89">
        <f t="shared" ref="H91:H97" si="17">G91</f>
        <v>2043</v>
      </c>
      <c r="I91" s="89">
        <f t="shared" ref="I91:I97" si="18">G91</f>
        <v>2043</v>
      </c>
      <c r="J91" s="89">
        <f t="shared" ref="J91:J97" si="19">G91</f>
        <v>2043</v>
      </c>
      <c r="K91" s="84"/>
    </row>
    <row r="92" spans="1:11" ht="20.100000000000001" customHeight="1">
      <c r="A92" s="8" t="s">
        <v>185</v>
      </c>
      <c r="B92" s="105">
        <v>1401</v>
      </c>
      <c r="C92" s="89">
        <v>1413</v>
      </c>
      <c r="D92" s="89">
        <v>2481</v>
      </c>
      <c r="E92" s="89">
        <v>1483.65</v>
      </c>
      <c r="F92" s="94">
        <f t="shared" si="16"/>
        <v>1560</v>
      </c>
      <c r="G92" s="89">
        <v>390</v>
      </c>
      <c r="H92" s="89">
        <f t="shared" si="17"/>
        <v>390</v>
      </c>
      <c r="I92" s="89">
        <f t="shared" si="18"/>
        <v>390</v>
      </c>
      <c r="J92" s="89">
        <f t="shared" si="19"/>
        <v>390</v>
      </c>
      <c r="K92" s="84"/>
    </row>
    <row r="93" spans="1:11" ht="20.100000000000001" customHeight="1">
      <c r="A93" s="8" t="s">
        <v>16</v>
      </c>
      <c r="B93" s="105">
        <v>1402</v>
      </c>
      <c r="C93" s="89">
        <v>7961</v>
      </c>
      <c r="D93" s="89">
        <v>8966</v>
      </c>
      <c r="E93" s="89">
        <v>8359.0499999999993</v>
      </c>
      <c r="F93" s="94">
        <f t="shared" si="16"/>
        <v>6612</v>
      </c>
      <c r="G93" s="89">
        <v>1653</v>
      </c>
      <c r="H93" s="89">
        <f t="shared" si="17"/>
        <v>1653</v>
      </c>
      <c r="I93" s="89">
        <f t="shared" si="18"/>
        <v>1653</v>
      </c>
      <c r="J93" s="89">
        <f t="shared" si="19"/>
        <v>1653</v>
      </c>
      <c r="K93" s="84"/>
    </row>
    <row r="94" spans="1:11" ht="20.100000000000001" customHeight="1">
      <c r="A94" s="8" t="s">
        <v>5</v>
      </c>
      <c r="B94" s="106">
        <v>1410</v>
      </c>
      <c r="C94" s="89">
        <v>22165</v>
      </c>
      <c r="D94" s="89">
        <v>31919</v>
      </c>
      <c r="E94" s="89">
        <v>23273.25</v>
      </c>
      <c r="F94" s="94">
        <f t="shared" si="16"/>
        <v>27668</v>
      </c>
      <c r="G94" s="89">
        <v>6917</v>
      </c>
      <c r="H94" s="89">
        <v>6917</v>
      </c>
      <c r="I94" s="89">
        <v>6917</v>
      </c>
      <c r="J94" s="89">
        <v>6917</v>
      </c>
      <c r="K94" s="84"/>
    </row>
    <row r="95" spans="1:11" ht="20.100000000000001" customHeight="1">
      <c r="A95" s="8" t="s">
        <v>6</v>
      </c>
      <c r="B95" s="106">
        <v>1420</v>
      </c>
      <c r="C95" s="89">
        <v>5217</v>
      </c>
      <c r="D95" s="89">
        <v>7022</v>
      </c>
      <c r="E95" s="89">
        <v>5120.0050000000001</v>
      </c>
      <c r="F95" s="94">
        <f t="shared" si="16"/>
        <v>6088</v>
      </c>
      <c r="G95" s="89">
        <v>1522</v>
      </c>
      <c r="H95" s="89">
        <v>1522</v>
      </c>
      <c r="I95" s="89">
        <v>1522</v>
      </c>
      <c r="J95" s="89">
        <v>1522</v>
      </c>
      <c r="K95" s="84"/>
    </row>
    <row r="96" spans="1:11" ht="20.100000000000001" customHeight="1">
      <c r="A96" s="8" t="s">
        <v>7</v>
      </c>
      <c r="B96" s="106">
        <v>1430</v>
      </c>
      <c r="C96" s="89">
        <v>1864</v>
      </c>
      <c r="D96" s="89">
        <v>2011</v>
      </c>
      <c r="E96" s="89">
        <v>1957.2</v>
      </c>
      <c r="F96" s="94">
        <f t="shared" si="16"/>
        <v>1932</v>
      </c>
      <c r="G96" s="89">
        <v>483</v>
      </c>
      <c r="H96" s="89">
        <f t="shared" si="17"/>
        <v>483</v>
      </c>
      <c r="I96" s="89">
        <f t="shared" si="18"/>
        <v>483</v>
      </c>
      <c r="J96" s="89">
        <f t="shared" si="19"/>
        <v>483</v>
      </c>
      <c r="K96" s="84"/>
    </row>
    <row r="97" spans="1:11" ht="20.100000000000001" customHeight="1">
      <c r="A97" s="8" t="s">
        <v>17</v>
      </c>
      <c r="B97" s="106">
        <v>1440</v>
      </c>
      <c r="C97" s="89">
        <v>26063</v>
      </c>
      <c r="D97" s="89">
        <v>11862</v>
      </c>
      <c r="E97" s="89">
        <v>28766</v>
      </c>
      <c r="F97" s="94">
        <f t="shared" si="16"/>
        <v>29304</v>
      </c>
      <c r="G97" s="89">
        <v>7326</v>
      </c>
      <c r="H97" s="89">
        <f t="shared" si="17"/>
        <v>7326</v>
      </c>
      <c r="I97" s="89">
        <f t="shared" si="18"/>
        <v>7326</v>
      </c>
      <c r="J97" s="89">
        <f t="shared" si="19"/>
        <v>7326</v>
      </c>
      <c r="K97" s="84"/>
    </row>
    <row r="98" spans="1:11" s="5" customFormat="1" ht="20.100000000000001" customHeight="1">
      <c r="A98" s="10" t="s">
        <v>41</v>
      </c>
      <c r="B98" s="107">
        <v>1450</v>
      </c>
      <c r="C98" s="126">
        <f>SUM(C91,C94:C97)</f>
        <v>64683</v>
      </c>
      <c r="D98" s="126">
        <f>SUM(D91,D94:D97)</f>
        <v>64261</v>
      </c>
      <c r="E98" s="126">
        <f>SUM(E91,E94:E97)</f>
        <v>68959.154999999999</v>
      </c>
      <c r="F98" s="126">
        <f t="shared" si="16"/>
        <v>73164</v>
      </c>
      <c r="G98" s="126">
        <f>SUM(G91,G94:G97)</f>
        <v>18291</v>
      </c>
      <c r="H98" s="126">
        <f>SUM(H91,H94:H97)</f>
        <v>18291</v>
      </c>
      <c r="I98" s="126">
        <f>SUM(I91,I94:I97)</f>
        <v>18291</v>
      </c>
      <c r="J98" s="126">
        <f>SUM(J91,J94:J97)</f>
        <v>18291</v>
      </c>
      <c r="K98" s="85"/>
    </row>
    <row r="99" spans="1:11" s="5" customFormat="1" ht="20.100000000000001" customHeight="1">
      <c r="A99" s="54"/>
      <c r="B99" s="63"/>
      <c r="C99" s="118"/>
      <c r="D99" s="118"/>
      <c r="E99" s="118"/>
      <c r="F99" s="118"/>
      <c r="G99" s="118"/>
      <c r="H99" s="118"/>
      <c r="I99" s="118"/>
      <c r="J99" s="118"/>
      <c r="K99" s="115"/>
    </row>
    <row r="100" spans="1:11" ht="20.100000000000001" customHeight="1">
      <c r="A100" s="178" t="s">
        <v>479</v>
      </c>
      <c r="B100" s="1"/>
      <c r="C100" s="231"/>
      <c r="D100" s="231"/>
      <c r="E100" s="231"/>
      <c r="F100" s="231"/>
      <c r="G100" s="14"/>
      <c r="H100" s="213" t="s">
        <v>462</v>
      </c>
      <c r="I100" s="213"/>
      <c r="J100" s="213"/>
    </row>
    <row r="101" spans="1:11" s="2" customFormat="1" ht="19.5" customHeight="1">
      <c r="A101" s="67"/>
      <c r="B101" s="3"/>
      <c r="C101" s="226"/>
      <c r="D101" s="226"/>
      <c r="E101" s="226"/>
      <c r="F101" s="226"/>
      <c r="G101" s="28"/>
      <c r="H101" s="210"/>
      <c r="I101" s="210"/>
      <c r="J101" s="210"/>
    </row>
    <row r="102" spans="1:11" ht="20.100000000000001" customHeight="1">
      <c r="A102" s="189" t="s">
        <v>463</v>
      </c>
      <c r="C102" s="33"/>
      <c r="D102" s="30"/>
      <c r="E102" s="30"/>
      <c r="F102" s="30"/>
      <c r="G102" s="30"/>
      <c r="H102" s="30"/>
      <c r="I102" s="30"/>
      <c r="J102" s="30"/>
    </row>
    <row r="103" spans="1:11">
      <c r="A103" s="29"/>
      <c r="C103" s="33"/>
      <c r="D103" s="30"/>
      <c r="E103" s="30"/>
      <c r="F103" s="30"/>
      <c r="G103" s="30"/>
      <c r="H103" s="30"/>
      <c r="I103" s="30"/>
      <c r="J103" s="30"/>
    </row>
    <row r="104" spans="1:11">
      <c r="A104" s="29"/>
      <c r="C104" s="33"/>
      <c r="D104" s="30"/>
      <c r="E104" s="30"/>
      <c r="F104" s="30"/>
      <c r="G104" s="30"/>
      <c r="H104" s="30"/>
      <c r="I104" s="30"/>
      <c r="J104" s="30"/>
    </row>
    <row r="105" spans="1:11">
      <c r="A105" s="29"/>
      <c r="C105" s="33"/>
      <c r="D105" s="30"/>
      <c r="E105" s="30"/>
      <c r="F105" s="30"/>
      <c r="G105" s="30"/>
      <c r="H105" s="30"/>
      <c r="I105" s="30"/>
      <c r="J105" s="30"/>
    </row>
    <row r="106" spans="1:11">
      <c r="A106" s="29"/>
      <c r="C106" s="33"/>
      <c r="D106" s="30"/>
      <c r="E106" s="30"/>
      <c r="F106" s="30"/>
      <c r="G106" s="30"/>
      <c r="H106" s="30"/>
      <c r="I106" s="30"/>
      <c r="J106" s="30"/>
    </row>
    <row r="107" spans="1:11">
      <c r="A107" s="29"/>
      <c r="C107" s="33"/>
      <c r="D107" s="30"/>
      <c r="E107" s="30"/>
      <c r="F107" s="30"/>
      <c r="G107" s="30"/>
      <c r="H107" s="30"/>
      <c r="I107" s="30"/>
      <c r="J107" s="30"/>
    </row>
    <row r="108" spans="1:11">
      <c r="A108" s="29"/>
      <c r="C108" s="33"/>
      <c r="D108" s="30"/>
      <c r="E108" s="30"/>
      <c r="F108" s="30"/>
      <c r="G108" s="30"/>
      <c r="H108" s="30"/>
      <c r="I108" s="30"/>
      <c r="J108" s="30"/>
    </row>
    <row r="109" spans="1:11">
      <c r="A109" s="29"/>
      <c r="C109" s="33"/>
      <c r="D109" s="30"/>
      <c r="E109" s="30"/>
      <c r="F109" s="30"/>
      <c r="G109" s="30"/>
      <c r="H109" s="30"/>
      <c r="I109" s="30"/>
      <c r="J109" s="30"/>
    </row>
    <row r="110" spans="1:11">
      <c r="A110" s="29"/>
      <c r="C110" s="33"/>
      <c r="D110" s="30"/>
      <c r="E110" s="30"/>
      <c r="F110" s="30"/>
      <c r="G110" s="30"/>
      <c r="H110" s="30"/>
      <c r="I110" s="30"/>
      <c r="J110" s="30"/>
    </row>
    <row r="111" spans="1:11">
      <c r="A111" s="29"/>
      <c r="C111" s="33"/>
      <c r="D111" s="30"/>
      <c r="E111" s="30"/>
      <c r="F111" s="30"/>
      <c r="G111" s="30"/>
      <c r="H111" s="30"/>
      <c r="I111" s="30"/>
      <c r="J111" s="30"/>
    </row>
    <row r="112" spans="1:11">
      <c r="A112" s="29"/>
      <c r="C112" s="33"/>
      <c r="D112" s="30"/>
      <c r="E112" s="30"/>
      <c r="F112" s="30"/>
      <c r="G112" s="30"/>
      <c r="H112" s="30"/>
      <c r="I112" s="30"/>
      <c r="J112" s="30"/>
    </row>
    <row r="113" spans="1:10">
      <c r="A113" s="29"/>
      <c r="C113" s="33"/>
      <c r="D113" s="30"/>
      <c r="E113" s="30"/>
      <c r="F113" s="30"/>
      <c r="G113" s="30"/>
      <c r="H113" s="30"/>
      <c r="I113" s="30"/>
      <c r="J113" s="30"/>
    </row>
    <row r="114" spans="1:10">
      <c r="A114" s="29"/>
      <c r="C114" s="33"/>
      <c r="D114" s="30"/>
      <c r="E114" s="30"/>
      <c r="F114" s="30"/>
      <c r="G114" s="30"/>
      <c r="H114" s="30"/>
      <c r="I114" s="30"/>
      <c r="J114" s="30"/>
    </row>
    <row r="115" spans="1:10">
      <c r="A115" s="29"/>
      <c r="C115" s="33"/>
      <c r="D115" s="30"/>
      <c r="E115" s="30"/>
      <c r="F115" s="30"/>
      <c r="G115" s="30"/>
      <c r="H115" s="30"/>
      <c r="I115" s="30"/>
      <c r="J115" s="30"/>
    </row>
    <row r="116" spans="1:10">
      <c r="A116" s="29"/>
      <c r="C116" s="33"/>
      <c r="D116" s="30"/>
      <c r="E116" s="30"/>
      <c r="F116" s="30"/>
      <c r="G116" s="30"/>
      <c r="H116" s="30"/>
      <c r="I116" s="30"/>
      <c r="J116" s="30"/>
    </row>
    <row r="117" spans="1:10">
      <c r="A117" s="29"/>
      <c r="C117" s="33"/>
      <c r="D117" s="30"/>
      <c r="E117" s="30"/>
      <c r="F117" s="30"/>
      <c r="G117" s="30"/>
      <c r="H117" s="30"/>
      <c r="I117" s="30"/>
      <c r="J117" s="30"/>
    </row>
    <row r="118" spans="1:10">
      <c r="A118" s="29"/>
      <c r="C118" s="33"/>
      <c r="D118" s="30"/>
      <c r="E118" s="30"/>
      <c r="F118" s="30"/>
      <c r="G118" s="30"/>
      <c r="H118" s="30"/>
      <c r="I118" s="30"/>
      <c r="J118" s="30"/>
    </row>
    <row r="119" spans="1:10">
      <c r="A119" s="29"/>
      <c r="C119" s="33"/>
      <c r="D119" s="30"/>
      <c r="E119" s="30"/>
      <c r="F119" s="30"/>
      <c r="G119" s="30"/>
      <c r="H119" s="30"/>
      <c r="I119" s="30"/>
      <c r="J119" s="30"/>
    </row>
    <row r="120" spans="1:10">
      <c r="A120" s="29"/>
      <c r="C120" s="33"/>
      <c r="D120" s="30"/>
      <c r="E120" s="30"/>
      <c r="F120" s="30"/>
      <c r="G120" s="30"/>
      <c r="H120" s="30"/>
      <c r="I120" s="30"/>
      <c r="J120" s="30"/>
    </row>
    <row r="121" spans="1:10">
      <c r="A121" s="29"/>
      <c r="C121" s="33"/>
      <c r="D121" s="30"/>
      <c r="E121" s="30"/>
      <c r="F121" s="30"/>
      <c r="G121" s="30"/>
      <c r="H121" s="30"/>
      <c r="I121" s="30"/>
      <c r="J121" s="30"/>
    </row>
    <row r="122" spans="1:10">
      <c r="A122" s="29"/>
      <c r="C122" s="33"/>
      <c r="D122" s="30"/>
      <c r="E122" s="30"/>
      <c r="F122" s="30"/>
      <c r="G122" s="30"/>
      <c r="H122" s="30"/>
      <c r="I122" s="30"/>
      <c r="J122" s="30"/>
    </row>
    <row r="123" spans="1:10">
      <c r="A123" s="29"/>
      <c r="C123" s="33"/>
      <c r="D123" s="30"/>
      <c r="E123" s="30"/>
      <c r="F123" s="30"/>
      <c r="G123" s="30"/>
      <c r="H123" s="30"/>
      <c r="I123" s="30"/>
      <c r="J123" s="30"/>
    </row>
    <row r="124" spans="1:10">
      <c r="A124" s="29"/>
      <c r="C124" s="33"/>
      <c r="D124" s="30"/>
      <c r="E124" s="30"/>
      <c r="F124" s="30"/>
      <c r="G124" s="30"/>
      <c r="H124" s="30"/>
      <c r="I124" s="30"/>
      <c r="J124" s="30"/>
    </row>
    <row r="125" spans="1:10">
      <c r="A125" s="29"/>
      <c r="C125" s="33"/>
      <c r="D125" s="30"/>
      <c r="E125" s="30"/>
      <c r="F125" s="30"/>
      <c r="G125" s="30"/>
      <c r="H125" s="30"/>
      <c r="I125" s="30"/>
      <c r="J125" s="30"/>
    </row>
    <row r="126" spans="1:10">
      <c r="A126" s="29"/>
      <c r="C126" s="33"/>
      <c r="D126" s="30"/>
      <c r="E126" s="30"/>
      <c r="F126" s="30"/>
      <c r="G126" s="30"/>
      <c r="H126" s="30"/>
      <c r="I126" s="30"/>
      <c r="J126" s="30"/>
    </row>
    <row r="127" spans="1:10">
      <c r="A127" s="29"/>
      <c r="C127" s="33"/>
      <c r="D127" s="30"/>
      <c r="E127" s="30"/>
      <c r="F127" s="30"/>
      <c r="G127" s="30"/>
      <c r="H127" s="30"/>
      <c r="I127" s="30"/>
      <c r="J127" s="30"/>
    </row>
    <row r="128" spans="1:10">
      <c r="A128" s="29"/>
      <c r="C128" s="33"/>
      <c r="D128" s="30"/>
      <c r="E128" s="30"/>
      <c r="F128" s="30"/>
      <c r="G128" s="30"/>
      <c r="H128" s="30"/>
      <c r="I128" s="30"/>
      <c r="J128" s="30"/>
    </row>
    <row r="129" spans="1:10">
      <c r="A129" s="29"/>
      <c r="C129" s="33"/>
      <c r="D129" s="30"/>
      <c r="E129" s="30"/>
      <c r="F129" s="30"/>
      <c r="G129" s="30"/>
      <c r="H129" s="30"/>
      <c r="I129" s="30"/>
      <c r="J129" s="30"/>
    </row>
    <row r="130" spans="1:10">
      <c r="A130" s="29"/>
      <c r="C130" s="33"/>
      <c r="D130" s="30"/>
      <c r="E130" s="30"/>
      <c r="F130" s="30"/>
      <c r="G130" s="30"/>
      <c r="H130" s="30"/>
      <c r="I130" s="30"/>
      <c r="J130" s="30"/>
    </row>
    <row r="131" spans="1:10">
      <c r="A131" s="29"/>
      <c r="C131" s="33"/>
      <c r="D131" s="30"/>
      <c r="E131" s="30"/>
      <c r="F131" s="30"/>
      <c r="G131" s="30"/>
      <c r="H131" s="30"/>
      <c r="I131" s="30"/>
      <c r="J131" s="30"/>
    </row>
    <row r="132" spans="1:10">
      <c r="A132" s="29"/>
      <c r="C132" s="33"/>
      <c r="D132" s="30"/>
      <c r="E132" s="30"/>
      <c r="F132" s="30"/>
      <c r="G132" s="30"/>
      <c r="H132" s="30"/>
      <c r="I132" s="30"/>
      <c r="J132" s="30"/>
    </row>
    <row r="133" spans="1:10">
      <c r="A133" s="29"/>
      <c r="C133" s="33"/>
      <c r="D133" s="30"/>
      <c r="E133" s="30"/>
      <c r="F133" s="30"/>
      <c r="G133" s="30"/>
      <c r="H133" s="30"/>
      <c r="I133" s="30"/>
      <c r="J133" s="30"/>
    </row>
    <row r="134" spans="1:10">
      <c r="A134" s="29"/>
      <c r="C134" s="33"/>
      <c r="D134" s="30"/>
      <c r="E134" s="30"/>
      <c r="F134" s="30"/>
      <c r="G134" s="30"/>
      <c r="H134" s="30"/>
      <c r="I134" s="30"/>
      <c r="J134" s="30"/>
    </row>
    <row r="135" spans="1:10">
      <c r="A135" s="29"/>
      <c r="C135" s="33"/>
      <c r="D135" s="30"/>
      <c r="E135" s="30"/>
      <c r="F135" s="30"/>
      <c r="G135" s="30"/>
      <c r="H135" s="30"/>
      <c r="I135" s="30"/>
      <c r="J135" s="30"/>
    </row>
    <row r="136" spans="1:10">
      <c r="A136" s="29"/>
      <c r="C136" s="33"/>
      <c r="D136" s="30"/>
      <c r="E136" s="30"/>
      <c r="F136" s="30"/>
      <c r="G136" s="30"/>
      <c r="H136" s="30"/>
      <c r="I136" s="30"/>
      <c r="J136" s="30"/>
    </row>
    <row r="137" spans="1:10">
      <c r="A137" s="29"/>
      <c r="C137" s="33"/>
      <c r="D137" s="30"/>
      <c r="E137" s="30"/>
      <c r="F137" s="30"/>
      <c r="G137" s="30"/>
      <c r="H137" s="30"/>
      <c r="I137" s="30"/>
      <c r="J137" s="30"/>
    </row>
    <row r="138" spans="1:10">
      <c r="A138" s="29"/>
      <c r="C138" s="33"/>
      <c r="D138" s="30"/>
      <c r="E138" s="30"/>
      <c r="F138" s="30"/>
      <c r="G138" s="30"/>
      <c r="H138" s="30"/>
      <c r="I138" s="30"/>
      <c r="J138" s="30"/>
    </row>
    <row r="139" spans="1:10">
      <c r="A139" s="29"/>
      <c r="C139" s="33"/>
      <c r="D139" s="30"/>
      <c r="E139" s="30"/>
      <c r="F139" s="30"/>
      <c r="G139" s="30"/>
      <c r="H139" s="30"/>
      <c r="I139" s="30"/>
      <c r="J139" s="30"/>
    </row>
    <row r="140" spans="1:10">
      <c r="A140" s="29"/>
      <c r="C140" s="33"/>
      <c r="D140" s="30"/>
      <c r="E140" s="30"/>
      <c r="F140" s="30"/>
      <c r="G140" s="30"/>
      <c r="H140" s="30"/>
      <c r="I140" s="30"/>
      <c r="J140" s="30"/>
    </row>
    <row r="141" spans="1:10">
      <c r="A141" s="29"/>
      <c r="C141" s="33"/>
      <c r="D141" s="30"/>
      <c r="E141" s="30"/>
      <c r="F141" s="30"/>
      <c r="G141" s="30"/>
      <c r="H141" s="30"/>
      <c r="I141" s="30"/>
      <c r="J141" s="30"/>
    </row>
    <row r="142" spans="1:10">
      <c r="A142" s="29"/>
      <c r="C142" s="33"/>
      <c r="D142" s="30"/>
      <c r="E142" s="30"/>
      <c r="F142" s="30"/>
      <c r="G142" s="30"/>
      <c r="H142" s="30"/>
      <c r="I142" s="30"/>
      <c r="J142" s="30"/>
    </row>
    <row r="143" spans="1:10">
      <c r="A143" s="29"/>
      <c r="C143" s="33"/>
      <c r="D143" s="30"/>
      <c r="E143" s="30"/>
      <c r="F143" s="30"/>
      <c r="G143" s="30"/>
      <c r="H143" s="30"/>
      <c r="I143" s="30"/>
      <c r="J143" s="30"/>
    </row>
    <row r="144" spans="1:10">
      <c r="A144" s="29"/>
      <c r="C144" s="33"/>
      <c r="D144" s="30"/>
      <c r="E144" s="30"/>
      <c r="F144" s="30"/>
      <c r="G144" s="30"/>
      <c r="H144" s="30"/>
      <c r="I144" s="30"/>
      <c r="J144" s="30"/>
    </row>
    <row r="145" spans="1:10">
      <c r="A145" s="29"/>
      <c r="C145" s="33"/>
      <c r="D145" s="30"/>
      <c r="E145" s="30"/>
      <c r="F145" s="30"/>
      <c r="G145" s="30"/>
      <c r="H145" s="30"/>
      <c r="I145" s="30"/>
      <c r="J145" s="30"/>
    </row>
    <row r="146" spans="1:10">
      <c r="A146" s="29"/>
      <c r="C146" s="33"/>
      <c r="D146" s="30"/>
      <c r="E146" s="30"/>
      <c r="F146" s="30"/>
      <c r="G146" s="30"/>
      <c r="H146" s="30"/>
      <c r="I146" s="30"/>
      <c r="J146" s="30"/>
    </row>
    <row r="147" spans="1:10">
      <c r="A147" s="29"/>
      <c r="C147" s="33"/>
      <c r="D147" s="30"/>
      <c r="E147" s="30"/>
      <c r="F147" s="30"/>
      <c r="G147" s="30"/>
      <c r="H147" s="30"/>
      <c r="I147" s="30"/>
      <c r="J147" s="30"/>
    </row>
    <row r="148" spans="1:10">
      <c r="A148" s="29"/>
      <c r="C148" s="33"/>
      <c r="D148" s="30"/>
      <c r="E148" s="30"/>
      <c r="F148" s="30"/>
      <c r="G148" s="30"/>
      <c r="H148" s="30"/>
      <c r="I148" s="30"/>
      <c r="J148" s="30"/>
    </row>
    <row r="149" spans="1:10">
      <c r="A149" s="29"/>
      <c r="C149" s="33"/>
      <c r="D149" s="30"/>
      <c r="E149" s="30"/>
      <c r="F149" s="30"/>
      <c r="G149" s="30"/>
      <c r="H149" s="30"/>
      <c r="I149" s="30"/>
      <c r="J149" s="30"/>
    </row>
    <row r="150" spans="1:10">
      <c r="A150" s="29"/>
      <c r="C150" s="33"/>
      <c r="D150" s="30"/>
      <c r="E150" s="30"/>
      <c r="F150" s="30"/>
      <c r="G150" s="30"/>
      <c r="H150" s="30"/>
      <c r="I150" s="30"/>
      <c r="J150" s="30"/>
    </row>
    <row r="151" spans="1:10">
      <c r="A151" s="29"/>
      <c r="C151" s="33"/>
      <c r="D151" s="30"/>
      <c r="E151" s="30"/>
      <c r="F151" s="30"/>
      <c r="G151" s="30"/>
      <c r="H151" s="30"/>
      <c r="I151" s="30"/>
      <c r="J151" s="30"/>
    </row>
    <row r="152" spans="1:10">
      <c r="A152" s="29"/>
      <c r="C152" s="33"/>
      <c r="D152" s="30"/>
      <c r="E152" s="30"/>
      <c r="F152" s="30"/>
      <c r="G152" s="30"/>
      <c r="H152" s="30"/>
      <c r="I152" s="30"/>
      <c r="J152" s="30"/>
    </row>
    <row r="153" spans="1:10">
      <c r="A153" s="29"/>
      <c r="C153" s="33"/>
      <c r="D153" s="30"/>
      <c r="E153" s="30"/>
      <c r="F153" s="30"/>
      <c r="G153" s="30"/>
      <c r="H153" s="30"/>
      <c r="I153" s="30"/>
      <c r="J153" s="30"/>
    </row>
    <row r="154" spans="1:10">
      <c r="A154" s="29"/>
      <c r="C154" s="33"/>
      <c r="D154" s="30"/>
      <c r="E154" s="30"/>
      <c r="F154" s="30"/>
      <c r="G154" s="30"/>
      <c r="H154" s="30"/>
      <c r="I154" s="30"/>
      <c r="J154" s="30"/>
    </row>
    <row r="155" spans="1:10">
      <c r="A155" s="29"/>
      <c r="C155" s="33"/>
      <c r="D155" s="30"/>
      <c r="E155" s="30"/>
      <c r="F155" s="30"/>
      <c r="G155" s="30"/>
      <c r="H155" s="30"/>
      <c r="I155" s="30"/>
      <c r="J155" s="30"/>
    </row>
    <row r="156" spans="1:10">
      <c r="A156" s="29"/>
      <c r="C156" s="33"/>
      <c r="D156" s="30"/>
      <c r="E156" s="30"/>
      <c r="F156" s="30"/>
      <c r="G156" s="30"/>
      <c r="H156" s="30"/>
      <c r="I156" s="30"/>
      <c r="J156" s="30"/>
    </row>
    <row r="157" spans="1:10">
      <c r="A157" s="29"/>
      <c r="C157" s="33"/>
      <c r="D157" s="30"/>
      <c r="E157" s="30"/>
      <c r="F157" s="30"/>
      <c r="G157" s="30"/>
      <c r="H157" s="30"/>
      <c r="I157" s="30"/>
      <c r="J157" s="30"/>
    </row>
    <row r="158" spans="1:10">
      <c r="A158" s="29"/>
      <c r="C158" s="33"/>
      <c r="D158" s="30"/>
      <c r="E158" s="30"/>
      <c r="F158" s="30"/>
      <c r="G158" s="30"/>
      <c r="H158" s="30"/>
      <c r="I158" s="30"/>
      <c r="J158" s="30"/>
    </row>
    <row r="159" spans="1:10">
      <c r="A159" s="29"/>
      <c r="C159" s="33"/>
      <c r="D159" s="30"/>
      <c r="E159" s="30"/>
      <c r="F159" s="30"/>
      <c r="G159" s="30"/>
      <c r="H159" s="30"/>
      <c r="I159" s="30"/>
      <c r="J159" s="30"/>
    </row>
    <row r="160" spans="1:10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  <row r="182" spans="1:1">
      <c r="A182" s="49"/>
    </row>
    <row r="183" spans="1:1">
      <c r="A183" s="49"/>
    </row>
    <row r="184" spans="1:1">
      <c r="A184" s="49"/>
    </row>
    <row r="185" spans="1:1">
      <c r="A185" s="49"/>
    </row>
    <row r="186" spans="1:1">
      <c r="A186" s="49"/>
    </row>
    <row r="187" spans="1:1">
      <c r="A187" s="49"/>
    </row>
    <row r="188" spans="1:1">
      <c r="A188" s="49"/>
    </row>
    <row r="189" spans="1:1">
      <c r="A189" s="49"/>
    </row>
    <row r="190" spans="1:1">
      <c r="A190" s="49"/>
    </row>
    <row r="191" spans="1:1">
      <c r="A191" s="49"/>
    </row>
    <row r="192" spans="1:1">
      <c r="A192" s="49"/>
    </row>
    <row r="193" spans="1:1">
      <c r="A193" s="49"/>
    </row>
    <row r="194" spans="1:1">
      <c r="A194" s="49"/>
    </row>
    <row r="195" spans="1:1">
      <c r="A195" s="49"/>
    </row>
    <row r="196" spans="1:1">
      <c r="A196" s="49"/>
    </row>
    <row r="197" spans="1:1">
      <c r="A197" s="49"/>
    </row>
    <row r="198" spans="1:1">
      <c r="A198" s="49"/>
    </row>
    <row r="199" spans="1:1">
      <c r="A199" s="49"/>
    </row>
    <row r="200" spans="1:1">
      <c r="A200" s="49"/>
    </row>
    <row r="201" spans="1:1">
      <c r="A201" s="49"/>
    </row>
    <row r="202" spans="1:1">
      <c r="A202" s="49"/>
    </row>
    <row r="203" spans="1:1">
      <c r="A203" s="49"/>
    </row>
    <row r="204" spans="1:1">
      <c r="A204" s="49"/>
    </row>
    <row r="205" spans="1:1">
      <c r="A205" s="49"/>
    </row>
    <row r="206" spans="1:1">
      <c r="A206" s="49"/>
    </row>
    <row r="207" spans="1:1">
      <c r="A207" s="49"/>
    </row>
    <row r="208" spans="1:1">
      <c r="A208" s="49"/>
    </row>
    <row r="209" spans="1:1">
      <c r="A209" s="49"/>
    </row>
    <row r="210" spans="1:1">
      <c r="A210" s="49"/>
    </row>
    <row r="211" spans="1:1">
      <c r="A211" s="49"/>
    </row>
    <row r="212" spans="1:1">
      <c r="A212" s="49"/>
    </row>
    <row r="213" spans="1:1">
      <c r="A213" s="49"/>
    </row>
    <row r="214" spans="1:1">
      <c r="A214" s="49"/>
    </row>
    <row r="215" spans="1:1">
      <c r="A215" s="49"/>
    </row>
    <row r="216" spans="1:1">
      <c r="A216" s="49"/>
    </row>
    <row r="217" spans="1:1">
      <c r="A217" s="49"/>
    </row>
    <row r="218" spans="1:1">
      <c r="A218" s="49"/>
    </row>
    <row r="219" spans="1:1">
      <c r="A219" s="49"/>
    </row>
    <row r="220" spans="1:1">
      <c r="A220" s="49"/>
    </row>
    <row r="221" spans="1:1">
      <c r="A221" s="49"/>
    </row>
    <row r="222" spans="1:1">
      <c r="A222" s="49"/>
    </row>
    <row r="223" spans="1:1">
      <c r="A223" s="49"/>
    </row>
    <row r="224" spans="1:1">
      <c r="A224" s="49"/>
    </row>
    <row r="225" spans="1:1">
      <c r="A225" s="49"/>
    </row>
    <row r="226" spans="1:1">
      <c r="A226" s="49"/>
    </row>
    <row r="227" spans="1:1">
      <c r="A227" s="49"/>
    </row>
    <row r="228" spans="1:1">
      <c r="A228" s="49"/>
    </row>
    <row r="229" spans="1:1">
      <c r="A229" s="49"/>
    </row>
    <row r="230" spans="1:1">
      <c r="A230" s="49"/>
    </row>
    <row r="231" spans="1:1">
      <c r="A231" s="49"/>
    </row>
    <row r="232" spans="1:1">
      <c r="A232" s="49"/>
    </row>
    <row r="233" spans="1:1">
      <c r="A233" s="49"/>
    </row>
    <row r="234" spans="1:1">
      <c r="A234" s="49"/>
    </row>
    <row r="235" spans="1:1">
      <c r="A235" s="49"/>
    </row>
    <row r="236" spans="1:1">
      <c r="A236" s="49"/>
    </row>
    <row r="237" spans="1:1">
      <c r="A237" s="49"/>
    </row>
    <row r="238" spans="1:1">
      <c r="A238" s="49"/>
    </row>
    <row r="239" spans="1:1">
      <c r="A239" s="49"/>
    </row>
    <row r="240" spans="1:1">
      <c r="A240" s="49"/>
    </row>
    <row r="241" spans="1:1">
      <c r="A241" s="49"/>
    </row>
    <row r="242" spans="1:1">
      <c r="A242" s="49"/>
    </row>
    <row r="243" spans="1:1">
      <c r="A243" s="49"/>
    </row>
    <row r="244" spans="1:1">
      <c r="A244" s="49"/>
    </row>
    <row r="245" spans="1:1">
      <c r="A245" s="49"/>
    </row>
    <row r="246" spans="1:1">
      <c r="A246" s="49"/>
    </row>
    <row r="247" spans="1:1">
      <c r="A247" s="49"/>
    </row>
    <row r="248" spans="1:1">
      <c r="A248" s="49"/>
    </row>
    <row r="249" spans="1:1">
      <c r="A249" s="49"/>
    </row>
    <row r="250" spans="1:1">
      <c r="A250" s="49"/>
    </row>
    <row r="251" spans="1:1">
      <c r="A251" s="49"/>
    </row>
    <row r="252" spans="1:1">
      <c r="A252" s="49"/>
    </row>
    <row r="253" spans="1:1">
      <c r="A253" s="49"/>
    </row>
    <row r="254" spans="1:1">
      <c r="A254" s="49"/>
    </row>
    <row r="255" spans="1:1">
      <c r="A255" s="49"/>
    </row>
    <row r="256" spans="1:1">
      <c r="A256" s="49"/>
    </row>
    <row r="257" spans="1:1">
      <c r="A257" s="49"/>
    </row>
    <row r="258" spans="1:1">
      <c r="A258" s="49"/>
    </row>
    <row r="259" spans="1:1">
      <c r="A259" s="49"/>
    </row>
    <row r="260" spans="1:1">
      <c r="A260" s="49"/>
    </row>
    <row r="261" spans="1:1">
      <c r="A261" s="49"/>
    </row>
    <row r="262" spans="1:1">
      <c r="A262" s="49"/>
    </row>
    <row r="263" spans="1:1">
      <c r="A263" s="49"/>
    </row>
    <row r="264" spans="1:1">
      <c r="A264" s="49"/>
    </row>
    <row r="265" spans="1:1">
      <c r="A265" s="49"/>
    </row>
    <row r="266" spans="1:1">
      <c r="A266" s="49"/>
    </row>
    <row r="267" spans="1:1">
      <c r="A267" s="49"/>
    </row>
    <row r="268" spans="1:1">
      <c r="A268" s="49"/>
    </row>
    <row r="269" spans="1:1">
      <c r="A269" s="49"/>
    </row>
    <row r="270" spans="1:1">
      <c r="A270" s="49"/>
    </row>
    <row r="271" spans="1:1">
      <c r="A271" s="49"/>
    </row>
    <row r="272" spans="1:1">
      <c r="A272" s="49"/>
    </row>
    <row r="273" spans="1:1">
      <c r="A273" s="49"/>
    </row>
    <row r="274" spans="1:1">
      <c r="A274" s="49"/>
    </row>
    <row r="275" spans="1:1">
      <c r="A275" s="49"/>
    </row>
    <row r="276" spans="1:1">
      <c r="A276" s="49"/>
    </row>
    <row r="277" spans="1:1">
      <c r="A277" s="49"/>
    </row>
    <row r="278" spans="1:1">
      <c r="A278" s="49"/>
    </row>
    <row r="279" spans="1:1">
      <c r="A279" s="49"/>
    </row>
    <row r="280" spans="1:1">
      <c r="A280" s="49"/>
    </row>
    <row r="281" spans="1:1">
      <c r="A281" s="49"/>
    </row>
    <row r="282" spans="1:1">
      <c r="A282" s="49"/>
    </row>
    <row r="283" spans="1:1">
      <c r="A283" s="49"/>
    </row>
    <row r="284" spans="1:1">
      <c r="A284" s="49"/>
    </row>
    <row r="285" spans="1:1">
      <c r="A285" s="49"/>
    </row>
    <row r="286" spans="1:1">
      <c r="A286" s="49"/>
    </row>
    <row r="287" spans="1:1">
      <c r="A287" s="49"/>
    </row>
    <row r="288" spans="1:1">
      <c r="A288" s="49"/>
    </row>
    <row r="289" spans="1:1">
      <c r="A289" s="49"/>
    </row>
    <row r="290" spans="1:1">
      <c r="A290" s="49"/>
    </row>
    <row r="291" spans="1:1">
      <c r="A291" s="49"/>
    </row>
    <row r="292" spans="1:1">
      <c r="A292" s="49"/>
    </row>
    <row r="293" spans="1:1">
      <c r="A293" s="49"/>
    </row>
    <row r="294" spans="1:1">
      <c r="A294" s="49"/>
    </row>
    <row r="295" spans="1:1">
      <c r="A295" s="49"/>
    </row>
    <row r="296" spans="1:1">
      <c r="A296" s="49"/>
    </row>
    <row r="297" spans="1:1">
      <c r="A297" s="49"/>
    </row>
    <row r="298" spans="1:1">
      <c r="A298" s="49"/>
    </row>
    <row r="299" spans="1:1">
      <c r="A299" s="49"/>
    </row>
    <row r="300" spans="1:1">
      <c r="A300" s="49"/>
    </row>
    <row r="301" spans="1:1">
      <c r="A301" s="49"/>
    </row>
    <row r="302" spans="1:1">
      <c r="A302" s="49"/>
    </row>
    <row r="303" spans="1:1">
      <c r="A303" s="49"/>
    </row>
    <row r="304" spans="1:1">
      <c r="A304" s="49"/>
    </row>
    <row r="305" spans="1:1">
      <c r="A305" s="49"/>
    </row>
    <row r="306" spans="1:1">
      <c r="A306" s="49"/>
    </row>
    <row r="307" spans="1:1">
      <c r="A307" s="49"/>
    </row>
    <row r="308" spans="1:1">
      <c r="A308" s="49"/>
    </row>
    <row r="309" spans="1:1">
      <c r="A309" s="49"/>
    </row>
    <row r="310" spans="1:1">
      <c r="A310" s="49"/>
    </row>
    <row r="311" spans="1:1">
      <c r="A311" s="49"/>
    </row>
    <row r="312" spans="1:1">
      <c r="A312" s="49"/>
    </row>
    <row r="313" spans="1:1">
      <c r="A313" s="49"/>
    </row>
    <row r="314" spans="1:1">
      <c r="A314" s="49"/>
    </row>
    <row r="315" spans="1:1">
      <c r="A315" s="49"/>
    </row>
    <row r="316" spans="1:1">
      <c r="A316" s="49"/>
    </row>
    <row r="317" spans="1:1">
      <c r="A317" s="49"/>
    </row>
    <row r="318" spans="1:1">
      <c r="A318" s="49"/>
    </row>
    <row r="319" spans="1:1">
      <c r="A319" s="49"/>
    </row>
    <row r="320" spans="1:1">
      <c r="A320" s="49"/>
    </row>
    <row r="321" spans="1:1">
      <c r="A321" s="49"/>
    </row>
    <row r="322" spans="1:1">
      <c r="A322" s="49"/>
    </row>
    <row r="323" spans="1:1">
      <c r="A323" s="49"/>
    </row>
    <row r="324" spans="1:1">
      <c r="A324" s="49"/>
    </row>
    <row r="325" spans="1:1">
      <c r="A325" s="49"/>
    </row>
    <row r="326" spans="1:1">
      <c r="A326" s="49"/>
    </row>
  </sheetData>
  <mergeCells count="16">
    <mergeCell ref="C101:F101"/>
    <mergeCell ref="H101:J101"/>
    <mergeCell ref="A6:K6"/>
    <mergeCell ref="A82:K82"/>
    <mergeCell ref="A90:K90"/>
    <mergeCell ref="C100:F100"/>
    <mergeCell ref="H100:J100"/>
    <mergeCell ref="A1:K1"/>
    <mergeCell ref="A3:A4"/>
    <mergeCell ref="B3:B4"/>
    <mergeCell ref="C3:C4"/>
    <mergeCell ref="D3:D4"/>
    <mergeCell ref="E3:E4"/>
    <mergeCell ref="F3:F4"/>
    <mergeCell ref="G3:J3"/>
    <mergeCell ref="K3:K4"/>
  </mergeCells>
  <phoneticPr fontId="3" type="noConversion"/>
  <pageMargins left="0.98425196850393704" right="0.59055118110236227" top="0.78740157480314965" bottom="0.78740157480314965" header="0.51181102362204722" footer="0.51181102362204722"/>
  <pageSetup paperSize="9" scale="41" orientation="landscape" r:id="rId1"/>
  <headerFooter alignWithMargins="0">
    <oddHeader>&amp;C
&amp;"Times New Roman,обычный"&amp;14 5&amp;R&amp;"Times New Roman,обычный"&amp;14Продовження додатка 1
Таблиця 1</oddHeader>
  </headerFooter>
  <rowBreaks count="1" manualBreakCount="1">
    <brk id="48" max="16383" man="1"/>
  </rowBreaks>
  <ignoredErrors>
    <ignoredError sqref="F8 F53 F98 F49 F17:F18 F71 F65 F60 F76 F41 F83:F86 F87:F88 F68" formula="1"/>
    <ignoredError sqref="C89:E89 G89:J89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O198"/>
  <sheetViews>
    <sheetView zoomScale="75" zoomScaleNormal="65" zoomScaleSheetLayoutView="50" workbookViewId="0">
      <selection activeCell="N17" sqref="N17"/>
    </sheetView>
  </sheetViews>
  <sheetFormatPr defaultColWidth="77.85546875" defaultRowHeight="18.75"/>
  <cols>
    <col min="1" max="1" width="84.85546875" style="44" customWidth="1"/>
    <col min="2" max="2" width="15.28515625" style="47" customWidth="1"/>
    <col min="3" max="3" width="13.42578125" style="47" customWidth="1"/>
    <col min="4" max="4" width="14.140625" style="47" customWidth="1"/>
    <col min="5" max="5" width="15.85546875" style="47" customWidth="1"/>
    <col min="6" max="10" width="15.85546875" style="44" customWidth="1"/>
    <col min="11" max="11" width="10" style="44" customWidth="1"/>
    <col min="12" max="12" width="9.5703125" style="44" customWidth="1"/>
    <col min="13" max="255" width="9.140625" style="44" customWidth="1"/>
    <col min="256" max="16384" width="77.85546875" style="44"/>
  </cols>
  <sheetData>
    <row r="1" spans="1:10">
      <c r="A1" s="235" t="s">
        <v>112</v>
      </c>
      <c r="B1" s="235"/>
      <c r="C1" s="235"/>
      <c r="D1" s="235"/>
      <c r="E1" s="235"/>
      <c r="F1" s="235"/>
      <c r="G1" s="235"/>
      <c r="H1" s="235"/>
      <c r="I1" s="235"/>
      <c r="J1" s="235"/>
    </row>
    <row r="2" spans="1:10">
      <c r="A2" s="47"/>
      <c r="F2" s="47"/>
      <c r="G2" s="47"/>
      <c r="H2" s="47"/>
      <c r="I2" s="47"/>
      <c r="J2" s="47"/>
    </row>
    <row r="3" spans="1:10" ht="38.25" customHeight="1">
      <c r="A3" s="216" t="s">
        <v>169</v>
      </c>
      <c r="B3" s="236" t="s">
        <v>8</v>
      </c>
      <c r="C3" s="236" t="s">
        <v>378</v>
      </c>
      <c r="D3" s="236" t="s">
        <v>380</v>
      </c>
      <c r="E3" s="225" t="s">
        <v>381</v>
      </c>
      <c r="F3" s="202" t="s">
        <v>388</v>
      </c>
      <c r="G3" s="202" t="s">
        <v>127</v>
      </c>
      <c r="H3" s="202"/>
      <c r="I3" s="202"/>
      <c r="J3" s="202"/>
    </row>
    <row r="4" spans="1:10" ht="50.25" customHeight="1">
      <c r="A4" s="216"/>
      <c r="B4" s="236"/>
      <c r="C4" s="236"/>
      <c r="D4" s="236"/>
      <c r="E4" s="225"/>
      <c r="F4" s="202"/>
      <c r="G4" s="15" t="s">
        <v>128</v>
      </c>
      <c r="H4" s="15" t="s">
        <v>129</v>
      </c>
      <c r="I4" s="15" t="s">
        <v>130</v>
      </c>
      <c r="J4" s="15" t="s">
        <v>56</v>
      </c>
    </row>
    <row r="5" spans="1:10" ht="18" customHeight="1">
      <c r="A5" s="50">
        <v>1</v>
      </c>
      <c r="B5" s="51">
        <v>2</v>
      </c>
      <c r="C5" s="51">
        <v>3</v>
      </c>
      <c r="D5" s="51">
        <v>4</v>
      </c>
      <c r="E5" s="51">
        <v>5</v>
      </c>
      <c r="F5" s="51">
        <v>6</v>
      </c>
      <c r="G5" s="51">
        <v>7</v>
      </c>
      <c r="H5" s="51">
        <v>8</v>
      </c>
      <c r="I5" s="51">
        <v>9</v>
      </c>
      <c r="J5" s="51">
        <v>10</v>
      </c>
    </row>
    <row r="6" spans="1:10" ht="24.95" customHeight="1">
      <c r="A6" s="232" t="s">
        <v>110</v>
      </c>
      <c r="B6" s="232"/>
      <c r="C6" s="232"/>
      <c r="D6" s="232"/>
      <c r="E6" s="232"/>
      <c r="F6" s="232"/>
      <c r="G6" s="232"/>
      <c r="H6" s="232"/>
      <c r="I6" s="232"/>
      <c r="J6" s="232"/>
    </row>
    <row r="7" spans="1:10" ht="42.75" customHeight="1">
      <c r="A7" s="45" t="s">
        <v>43</v>
      </c>
      <c r="B7" s="6">
        <v>2000</v>
      </c>
      <c r="C7" s="89">
        <v>-78352</v>
      </c>
      <c r="D7" s="89">
        <v>0</v>
      </c>
      <c r="E7" s="89">
        <v>0</v>
      </c>
      <c r="F7" s="89">
        <v>0</v>
      </c>
      <c r="G7" s="89">
        <v>0</v>
      </c>
      <c r="H7" s="89">
        <v>0</v>
      </c>
      <c r="I7" s="89">
        <v>0</v>
      </c>
      <c r="J7" s="89">
        <v>0</v>
      </c>
    </row>
    <row r="8" spans="1:10" ht="37.5">
      <c r="A8" s="45" t="s">
        <v>264</v>
      </c>
      <c r="B8" s="6">
        <v>2010</v>
      </c>
      <c r="C8" s="94">
        <f>SUM(C9:C10)</f>
        <v>0</v>
      </c>
      <c r="D8" s="94">
        <v>0</v>
      </c>
      <c r="E8" s="94">
        <f>SUM(E9:E10)</f>
        <v>0</v>
      </c>
      <c r="F8" s="94">
        <f t="shared" ref="F8:F43" si="0">SUM(G8:J8)</f>
        <v>0</v>
      </c>
      <c r="G8" s="94">
        <f>SUM(G9:G10)</f>
        <v>0</v>
      </c>
      <c r="H8" s="94">
        <f>SUM(H9:H10)</f>
        <v>0</v>
      </c>
      <c r="I8" s="94">
        <f>SUM(I9:I10)</f>
        <v>0</v>
      </c>
      <c r="J8" s="94">
        <f>SUM(J9:J10)</f>
        <v>0</v>
      </c>
    </row>
    <row r="9" spans="1:10" ht="37.5">
      <c r="A9" s="8" t="s">
        <v>139</v>
      </c>
      <c r="B9" s="6">
        <v>2011</v>
      </c>
      <c r="C9" s="89">
        <v>0</v>
      </c>
      <c r="D9" s="89">
        <v>0</v>
      </c>
      <c r="E9" s="89" t="s">
        <v>212</v>
      </c>
      <c r="F9" s="94">
        <f>SUM(G9:J9)</f>
        <v>0</v>
      </c>
      <c r="G9" s="89" t="s">
        <v>212</v>
      </c>
      <c r="H9" s="89" t="s">
        <v>212</v>
      </c>
      <c r="I9" s="89" t="s">
        <v>212</v>
      </c>
      <c r="J9" s="89" t="s">
        <v>212</v>
      </c>
    </row>
    <row r="10" spans="1:10" ht="42.75" customHeight="1">
      <c r="A10" s="8" t="s">
        <v>354</v>
      </c>
      <c r="B10" s="6">
        <v>2012</v>
      </c>
      <c r="C10" s="89">
        <v>0</v>
      </c>
      <c r="D10" s="89">
        <v>0</v>
      </c>
      <c r="E10" s="89" t="s">
        <v>212</v>
      </c>
      <c r="F10" s="94">
        <f>SUM(G10:J10)</f>
        <v>0</v>
      </c>
      <c r="G10" s="89" t="s">
        <v>212</v>
      </c>
      <c r="H10" s="89" t="s">
        <v>212</v>
      </c>
      <c r="I10" s="89" t="s">
        <v>212</v>
      </c>
      <c r="J10" s="89" t="s">
        <v>212</v>
      </c>
    </row>
    <row r="11" spans="1:10" ht="20.100000000000001" customHeight="1">
      <c r="A11" s="8" t="s">
        <v>120</v>
      </c>
      <c r="B11" s="6" t="s">
        <v>150</v>
      </c>
      <c r="C11" s="89">
        <v>0</v>
      </c>
      <c r="D11" s="89">
        <v>0</v>
      </c>
      <c r="E11" s="89" t="s">
        <v>212</v>
      </c>
      <c r="F11" s="94">
        <f>SUM(G11:J11)</f>
        <v>0</v>
      </c>
      <c r="G11" s="89" t="s">
        <v>212</v>
      </c>
      <c r="H11" s="89" t="s">
        <v>212</v>
      </c>
      <c r="I11" s="89" t="s">
        <v>212</v>
      </c>
      <c r="J11" s="89" t="s">
        <v>212</v>
      </c>
    </row>
    <row r="12" spans="1:10" ht="20.100000000000001" customHeight="1">
      <c r="A12" s="8" t="s">
        <v>131</v>
      </c>
      <c r="B12" s="6">
        <v>2020</v>
      </c>
      <c r="C12" s="89">
        <v>0</v>
      </c>
      <c r="D12" s="89">
        <v>0</v>
      </c>
      <c r="E12" s="89"/>
      <c r="F12" s="94">
        <f t="shared" si="0"/>
        <v>0</v>
      </c>
      <c r="G12" s="89"/>
      <c r="H12" s="89"/>
      <c r="I12" s="89"/>
      <c r="J12" s="89"/>
    </row>
    <row r="13" spans="1:10" s="46" customFormat="1" ht="20.100000000000001" customHeight="1">
      <c r="A13" s="45" t="s">
        <v>53</v>
      </c>
      <c r="B13" s="6">
        <v>2030</v>
      </c>
      <c r="C13" s="89">
        <v>0</v>
      </c>
      <c r="D13" s="89">
        <v>0</v>
      </c>
      <c r="E13" s="89" t="s">
        <v>212</v>
      </c>
      <c r="F13" s="94">
        <f t="shared" si="0"/>
        <v>0</v>
      </c>
      <c r="G13" s="89" t="s">
        <v>212</v>
      </c>
      <c r="H13" s="89" t="s">
        <v>212</v>
      </c>
      <c r="I13" s="89" t="s">
        <v>212</v>
      </c>
      <c r="J13" s="89" t="s">
        <v>212</v>
      </c>
    </row>
    <row r="14" spans="1:10" ht="20.100000000000001" customHeight="1">
      <c r="A14" s="45" t="s">
        <v>103</v>
      </c>
      <c r="B14" s="6">
        <v>2031</v>
      </c>
      <c r="C14" s="89">
        <v>0</v>
      </c>
      <c r="D14" s="89">
        <v>0</v>
      </c>
      <c r="E14" s="89" t="s">
        <v>212</v>
      </c>
      <c r="F14" s="94">
        <f t="shared" si="0"/>
        <v>0</v>
      </c>
      <c r="G14" s="89" t="s">
        <v>212</v>
      </c>
      <c r="H14" s="89" t="s">
        <v>212</v>
      </c>
      <c r="I14" s="89" t="s">
        <v>212</v>
      </c>
      <c r="J14" s="89" t="s">
        <v>212</v>
      </c>
    </row>
    <row r="15" spans="1:10" ht="20.100000000000001" customHeight="1">
      <c r="A15" s="45" t="s">
        <v>15</v>
      </c>
      <c r="B15" s="6">
        <v>2040</v>
      </c>
      <c r="C15" s="89">
        <v>0</v>
      </c>
      <c r="D15" s="89">
        <v>0</v>
      </c>
      <c r="E15" s="89" t="s">
        <v>212</v>
      </c>
      <c r="F15" s="94">
        <f t="shared" si="0"/>
        <v>0</v>
      </c>
      <c r="G15" s="89" t="s">
        <v>212</v>
      </c>
      <c r="H15" s="89" t="s">
        <v>212</v>
      </c>
      <c r="I15" s="89" t="s">
        <v>212</v>
      </c>
      <c r="J15" s="89" t="s">
        <v>212</v>
      </c>
    </row>
    <row r="16" spans="1:10" ht="20.100000000000001" customHeight="1">
      <c r="A16" s="45" t="s">
        <v>94</v>
      </c>
      <c r="B16" s="6">
        <v>2050</v>
      </c>
      <c r="C16" s="89">
        <v>0</v>
      </c>
      <c r="D16" s="89">
        <v>0</v>
      </c>
      <c r="E16" s="89" t="s">
        <v>212</v>
      </c>
      <c r="F16" s="94">
        <f t="shared" si="0"/>
        <v>0</v>
      </c>
      <c r="G16" s="89" t="s">
        <v>212</v>
      </c>
      <c r="H16" s="89" t="s">
        <v>212</v>
      </c>
      <c r="I16" s="89" t="s">
        <v>212</v>
      </c>
      <c r="J16" s="89" t="s">
        <v>212</v>
      </c>
    </row>
    <row r="17" spans="1:15" ht="20.100000000000001" customHeight="1">
      <c r="A17" s="45" t="s">
        <v>95</v>
      </c>
      <c r="B17" s="6">
        <v>2060</v>
      </c>
      <c r="C17" s="89">
        <v>0</v>
      </c>
      <c r="D17" s="89">
        <v>0</v>
      </c>
      <c r="E17" s="89" t="s">
        <v>212</v>
      </c>
      <c r="F17" s="94">
        <f t="shared" si="0"/>
        <v>0</v>
      </c>
      <c r="G17" s="89" t="s">
        <v>212</v>
      </c>
      <c r="H17" s="89" t="s">
        <v>212</v>
      </c>
      <c r="I17" s="89" t="s">
        <v>212</v>
      </c>
      <c r="J17" s="89" t="s">
        <v>212</v>
      </c>
    </row>
    <row r="18" spans="1:15" ht="42.75" customHeight="1">
      <c r="A18" s="45" t="s">
        <v>44</v>
      </c>
      <c r="B18" s="6">
        <v>2070</v>
      </c>
      <c r="C18" s="123">
        <f>SUM(C7,C8,C12,C13,C15,C16,C17)+'I. Фін результат'!C76</f>
        <v>-94227</v>
      </c>
      <c r="D18" s="123">
        <f>SUM(D7,D8,D12,D13,D15,D16,D17)+'I. Фін результат'!D76</f>
        <v>280</v>
      </c>
      <c r="E18" s="123">
        <f>SUM(E7,E8,E12,E13,E15,E16,E17)+'I. Фін результат'!E76</f>
        <v>318.58299999999872</v>
      </c>
      <c r="F18" s="123">
        <f>SUM(F7,F8,F12,F13,F15,F16,F17)+'I. Фін результат'!F76</f>
        <v>788.54000000000519</v>
      </c>
      <c r="G18" s="123">
        <f>SUM(G7,G8,G12,G13,G15,G16,G17)+'I. Фін результат'!G76</f>
        <v>192.81999999999897</v>
      </c>
      <c r="H18" s="123">
        <f>SUM(H7,H8,H12,H13,H15,H16,H17)+'I. Фін результат'!H76</f>
        <v>86.050000000000722</v>
      </c>
      <c r="I18" s="123">
        <f>SUM(I7,I8,I12,I13,I15,I16,I17)+'I. Фін результат'!I76</f>
        <v>225.02000000000044</v>
      </c>
      <c r="J18" s="123">
        <f>SUM(J7,J8,J12,J13,J15,J16,J17)+'I. Фін результат'!J76</f>
        <v>284.64999999999964</v>
      </c>
    </row>
    <row r="19" spans="1:15" ht="20.100000000000001" customHeight="1">
      <c r="A19" s="232" t="s">
        <v>379</v>
      </c>
      <c r="B19" s="232"/>
      <c r="C19" s="232"/>
      <c r="D19" s="232"/>
      <c r="E19" s="232"/>
      <c r="F19" s="232"/>
      <c r="G19" s="232"/>
      <c r="H19" s="232"/>
      <c r="I19" s="232"/>
      <c r="J19" s="232"/>
    </row>
    <row r="20" spans="1:15" ht="37.5">
      <c r="A20" s="55" t="s">
        <v>314</v>
      </c>
      <c r="B20" s="116">
        <v>2110</v>
      </c>
      <c r="C20" s="122">
        <f>SUM(C21:C29)</f>
        <v>9533</v>
      </c>
      <c r="D20" s="122">
        <f>SUM(D21:D29)</f>
        <v>5516</v>
      </c>
      <c r="E20" s="122">
        <f>SUM(E21:E29)</f>
        <v>11053</v>
      </c>
      <c r="F20" s="126">
        <f t="shared" si="0"/>
        <v>12788.8</v>
      </c>
      <c r="G20" s="122">
        <f>SUM(G21:G29)</f>
        <v>3238.7</v>
      </c>
      <c r="H20" s="122">
        <f>SUM(H21:H29)</f>
        <v>3062.1</v>
      </c>
      <c r="I20" s="122">
        <f>SUM(I21:I29)</f>
        <v>3100.5</v>
      </c>
      <c r="J20" s="122">
        <f>SUM(J21:J29)</f>
        <v>3387.5</v>
      </c>
    </row>
    <row r="21" spans="1:15">
      <c r="A21" s="8" t="s">
        <v>274</v>
      </c>
      <c r="B21" s="6">
        <v>2111</v>
      </c>
      <c r="C21" s="89">
        <v>0</v>
      </c>
      <c r="D21" s="89">
        <f>'I. Фін результат'!D72</f>
        <v>-20</v>
      </c>
      <c r="E21" s="89">
        <f>'I. Фін результат'!E72</f>
        <v>-70</v>
      </c>
      <c r="F21" s="94">
        <f t="shared" si="0"/>
        <v>-173.2</v>
      </c>
      <c r="G21" s="89">
        <f>'I. Фін результат'!G72</f>
        <v>-42.3</v>
      </c>
      <c r="H21" s="89">
        <f>'I. Фін результат'!H72</f>
        <v>-18.899999999999999</v>
      </c>
      <c r="I21" s="89">
        <f>'I. Фін результат'!I72</f>
        <v>-49.5</v>
      </c>
      <c r="J21" s="89">
        <f>'I. Фін результат'!J72</f>
        <v>-62.5</v>
      </c>
    </row>
    <row r="22" spans="1:15" ht="37.5">
      <c r="A22" s="8" t="s">
        <v>336</v>
      </c>
      <c r="B22" s="6">
        <v>2112</v>
      </c>
      <c r="C22" s="89">
        <v>3946</v>
      </c>
      <c r="D22" s="89">
        <v>5536</v>
      </c>
      <c r="E22" s="89">
        <v>5536</v>
      </c>
      <c r="F22" s="94">
        <f t="shared" si="0"/>
        <v>6800</v>
      </c>
      <c r="G22" s="89">
        <v>1800</v>
      </c>
      <c r="H22" s="89">
        <v>1600</v>
      </c>
      <c r="I22" s="89">
        <v>1600</v>
      </c>
      <c r="J22" s="89">
        <v>1800</v>
      </c>
    </row>
    <row r="23" spans="1:15" s="46" customFormat="1" ht="37.5">
      <c r="A23" s="45" t="s">
        <v>337</v>
      </c>
      <c r="B23" s="50">
        <v>2113</v>
      </c>
      <c r="C23" s="89">
        <v>0</v>
      </c>
      <c r="D23" s="89">
        <v>0</v>
      </c>
      <c r="E23" s="89">
        <v>0</v>
      </c>
      <c r="F23" s="94">
        <f t="shared" si="0"/>
        <v>0</v>
      </c>
      <c r="G23" s="89">
        <v>0</v>
      </c>
      <c r="H23" s="89">
        <v>0</v>
      </c>
      <c r="I23" s="89">
        <v>0</v>
      </c>
      <c r="J23" s="89">
        <v>0</v>
      </c>
    </row>
    <row r="24" spans="1:15">
      <c r="A24" s="45" t="s">
        <v>71</v>
      </c>
      <c r="B24" s="50">
        <v>2114</v>
      </c>
      <c r="C24" s="89">
        <v>0</v>
      </c>
      <c r="D24" s="89">
        <v>0</v>
      </c>
      <c r="E24" s="89">
        <v>0</v>
      </c>
      <c r="F24" s="94">
        <f t="shared" si="0"/>
        <v>0</v>
      </c>
      <c r="G24" s="89">
        <v>0</v>
      </c>
      <c r="H24" s="89">
        <v>0</v>
      </c>
      <c r="I24" s="89">
        <v>0</v>
      </c>
      <c r="J24" s="89">
        <v>0</v>
      </c>
    </row>
    <row r="25" spans="1:15" ht="37.5">
      <c r="A25" s="45" t="s">
        <v>318</v>
      </c>
      <c r="B25" s="50">
        <v>2115</v>
      </c>
      <c r="C25" s="89">
        <v>0</v>
      </c>
      <c r="D25" s="89">
        <v>0</v>
      </c>
      <c r="E25" s="89">
        <v>0</v>
      </c>
      <c r="F25" s="94">
        <f t="shared" si="0"/>
        <v>0</v>
      </c>
      <c r="G25" s="89">
        <v>0</v>
      </c>
      <c r="H25" s="89">
        <v>0</v>
      </c>
      <c r="I25" s="89">
        <v>0</v>
      </c>
      <c r="J25" s="89">
        <v>0</v>
      </c>
    </row>
    <row r="26" spans="1:15">
      <c r="A26" s="45" t="s">
        <v>87</v>
      </c>
      <c r="B26" s="50">
        <v>2116</v>
      </c>
      <c r="C26" s="89">
        <v>0</v>
      </c>
      <c r="D26" s="89">
        <v>0</v>
      </c>
      <c r="E26" s="89">
        <v>0</v>
      </c>
      <c r="F26" s="94">
        <f t="shared" si="0"/>
        <v>0</v>
      </c>
      <c r="G26" s="89">
        <v>0</v>
      </c>
      <c r="H26" s="89">
        <v>0</v>
      </c>
      <c r="I26" s="89">
        <v>0</v>
      </c>
      <c r="J26" s="89">
        <v>0</v>
      </c>
    </row>
    <row r="27" spans="1:15">
      <c r="A27" s="45" t="s">
        <v>338</v>
      </c>
      <c r="B27" s="50">
        <v>2117</v>
      </c>
      <c r="C27" s="89">
        <v>0</v>
      </c>
      <c r="D27" s="89">
        <v>0</v>
      </c>
      <c r="E27" s="89"/>
      <c r="F27" s="94">
        <f t="shared" si="0"/>
        <v>0</v>
      </c>
      <c r="G27" s="89"/>
      <c r="H27" s="89"/>
      <c r="I27" s="89"/>
      <c r="J27" s="89"/>
    </row>
    <row r="28" spans="1:15">
      <c r="A28" s="45" t="s">
        <v>70</v>
      </c>
      <c r="B28" s="50">
        <v>2118</v>
      </c>
      <c r="C28" s="89">
        <v>5587</v>
      </c>
      <c r="D28" s="89">
        <v>0</v>
      </c>
      <c r="E28" s="89">
        <v>5587</v>
      </c>
      <c r="F28" s="94">
        <f t="shared" si="0"/>
        <v>6162</v>
      </c>
      <c r="G28" s="89">
        <v>1481</v>
      </c>
      <c r="H28" s="89">
        <v>1481</v>
      </c>
      <c r="I28" s="89">
        <v>1550</v>
      </c>
      <c r="J28" s="89">
        <v>1650</v>
      </c>
    </row>
    <row r="29" spans="1:15" s="48" customFormat="1">
      <c r="A29" s="45" t="s">
        <v>321</v>
      </c>
      <c r="B29" s="50">
        <v>2119</v>
      </c>
      <c r="C29" s="117">
        <v>0</v>
      </c>
      <c r="D29" s="89">
        <v>0</v>
      </c>
      <c r="E29" s="117">
        <v>0</v>
      </c>
      <c r="F29" s="94">
        <f t="shared" si="0"/>
        <v>0</v>
      </c>
      <c r="G29" s="117">
        <v>0</v>
      </c>
      <c r="H29" s="117">
        <v>0</v>
      </c>
      <c r="I29" s="117">
        <v>0</v>
      </c>
      <c r="J29" s="117">
        <v>0</v>
      </c>
      <c r="K29" s="44"/>
    </row>
    <row r="30" spans="1:15" s="48" customFormat="1" ht="37.5">
      <c r="A30" s="55" t="s">
        <v>322</v>
      </c>
      <c r="B30" s="108">
        <v>2120</v>
      </c>
      <c r="C30" s="122">
        <f>SUM(C31:C34)</f>
        <v>1832</v>
      </c>
      <c r="D30" s="122">
        <f>SUM(D31:D34)</f>
        <v>2103</v>
      </c>
      <c r="E30" s="122">
        <f>SUM(E31:E34)</f>
        <v>1832</v>
      </c>
      <c r="F30" s="126">
        <f>SUM(G30:J30)</f>
        <v>3335</v>
      </c>
      <c r="G30" s="122">
        <f>SUM(G31:G34)</f>
        <v>786</v>
      </c>
      <c r="H30" s="122">
        <f>SUM(H31:H34)</f>
        <v>786</v>
      </c>
      <c r="I30" s="122">
        <f>SUM(I31:I34)</f>
        <v>786</v>
      </c>
      <c r="J30" s="122">
        <f>SUM(J31:J34)</f>
        <v>977</v>
      </c>
      <c r="K30" s="44"/>
    </row>
    <row r="31" spans="1:15" s="48" customFormat="1">
      <c r="A31" s="45" t="s">
        <v>70</v>
      </c>
      <c r="B31" s="50">
        <v>2121</v>
      </c>
      <c r="C31" s="89">
        <v>0</v>
      </c>
      <c r="D31" s="89">
        <v>0</v>
      </c>
      <c r="E31" s="89"/>
      <c r="F31" s="94">
        <f t="shared" si="0"/>
        <v>0</v>
      </c>
      <c r="G31" s="89"/>
      <c r="H31" s="89"/>
      <c r="I31" s="89"/>
      <c r="J31" s="89"/>
      <c r="K31" s="44"/>
      <c r="O31" s="48">
        <v>0</v>
      </c>
    </row>
    <row r="32" spans="1:15" s="48" customFormat="1">
      <c r="A32" s="45" t="s">
        <v>328</v>
      </c>
      <c r="B32" s="50">
        <v>2122</v>
      </c>
      <c r="C32" s="89">
        <v>997</v>
      </c>
      <c r="D32" s="89">
        <v>558</v>
      </c>
      <c r="E32" s="89">
        <v>997</v>
      </c>
      <c r="F32" s="94">
        <f t="shared" si="0"/>
        <v>1787</v>
      </c>
      <c r="G32" s="89">
        <v>400</v>
      </c>
      <c r="H32" s="89">
        <v>400</v>
      </c>
      <c r="I32" s="89">
        <v>400</v>
      </c>
      <c r="J32" s="89">
        <f>400+187</f>
        <v>587</v>
      </c>
      <c r="K32" s="44"/>
    </row>
    <row r="33" spans="1:11" s="48" customFormat="1">
      <c r="A33" s="45" t="s">
        <v>329</v>
      </c>
      <c r="B33" s="50">
        <v>2123</v>
      </c>
      <c r="C33" s="89">
        <v>0</v>
      </c>
      <c r="D33" s="89">
        <v>0</v>
      </c>
      <c r="E33" s="89">
        <v>0</v>
      </c>
      <c r="F33" s="94">
        <f t="shared" si="0"/>
        <v>0</v>
      </c>
      <c r="G33" s="89">
        <v>0</v>
      </c>
      <c r="H33" s="89">
        <v>0</v>
      </c>
      <c r="I33" s="89">
        <v>0</v>
      </c>
      <c r="J33" s="89">
        <v>0</v>
      </c>
      <c r="K33" s="44"/>
    </row>
    <row r="34" spans="1:11" s="48" customFormat="1">
      <c r="A34" s="45" t="s">
        <v>321</v>
      </c>
      <c r="B34" s="50">
        <v>2124</v>
      </c>
      <c r="C34" s="89">
        <v>835</v>
      </c>
      <c r="D34" s="89">
        <v>1545</v>
      </c>
      <c r="E34" s="89">
        <v>835</v>
      </c>
      <c r="F34" s="94">
        <f t="shared" si="0"/>
        <v>1548</v>
      </c>
      <c r="G34" s="89">
        <v>386</v>
      </c>
      <c r="H34" s="89">
        <v>386</v>
      </c>
      <c r="I34" s="89">
        <v>386</v>
      </c>
      <c r="J34" s="89">
        <v>390</v>
      </c>
      <c r="K34" s="44"/>
    </row>
    <row r="35" spans="1:11" s="48" customFormat="1" ht="37.5">
      <c r="A35" s="55" t="s">
        <v>317</v>
      </c>
      <c r="B35" s="108">
        <v>2130</v>
      </c>
      <c r="C35" s="122">
        <f>SUM(C36:C39)</f>
        <v>5164</v>
      </c>
      <c r="D35" s="122">
        <f>SUM(D36:D39)</f>
        <v>5398</v>
      </c>
      <c r="E35" s="122">
        <f>SUM(E36:E39)</f>
        <v>5164</v>
      </c>
      <c r="F35" s="126">
        <f t="shared" si="0"/>
        <v>5474</v>
      </c>
      <c r="G35" s="122">
        <f>SUM(G36:G39)</f>
        <v>1368.5</v>
      </c>
      <c r="H35" s="122">
        <f>SUM(H36:H39)</f>
        <v>1368.5</v>
      </c>
      <c r="I35" s="122">
        <f>SUM(I36:I39)</f>
        <v>1368.5</v>
      </c>
      <c r="J35" s="122">
        <f>SUM(J36:J39)</f>
        <v>1368.5</v>
      </c>
      <c r="K35" s="44"/>
    </row>
    <row r="36" spans="1:11" ht="57" customHeight="1">
      <c r="A36" s="45" t="s">
        <v>339</v>
      </c>
      <c r="B36" s="50">
        <v>2131</v>
      </c>
      <c r="C36" s="89">
        <v>0</v>
      </c>
      <c r="D36" s="89">
        <v>0</v>
      </c>
      <c r="E36" s="89">
        <v>0</v>
      </c>
      <c r="F36" s="94">
        <f t="shared" si="0"/>
        <v>0</v>
      </c>
      <c r="G36" s="89">
        <v>0</v>
      </c>
      <c r="H36" s="89">
        <v>0</v>
      </c>
      <c r="I36" s="89">
        <v>0</v>
      </c>
      <c r="J36" s="89">
        <v>0</v>
      </c>
    </row>
    <row r="37" spans="1:11" ht="20.100000000000001" customHeight="1">
      <c r="A37" s="45" t="s">
        <v>323</v>
      </c>
      <c r="B37" s="50">
        <v>2132</v>
      </c>
      <c r="C37" s="89">
        <v>0</v>
      </c>
      <c r="D37" s="89">
        <v>0</v>
      </c>
      <c r="E37" s="89">
        <v>0</v>
      </c>
      <c r="F37" s="94">
        <f t="shared" si="0"/>
        <v>0</v>
      </c>
      <c r="G37" s="89">
        <v>0</v>
      </c>
      <c r="H37" s="89">
        <v>0</v>
      </c>
      <c r="I37" s="89">
        <v>0</v>
      </c>
      <c r="J37" s="89">
        <v>0</v>
      </c>
    </row>
    <row r="38" spans="1:11" ht="20.100000000000001" customHeight="1">
      <c r="A38" s="45" t="s">
        <v>324</v>
      </c>
      <c r="B38" s="50">
        <v>2133</v>
      </c>
      <c r="C38" s="89">
        <v>5164</v>
      </c>
      <c r="D38" s="89">
        <v>5398</v>
      </c>
      <c r="E38" s="89">
        <v>5164</v>
      </c>
      <c r="F38" s="94">
        <f t="shared" si="0"/>
        <v>5474</v>
      </c>
      <c r="G38" s="89">
        <v>1368.5</v>
      </c>
      <c r="H38" s="89">
        <v>1368.5</v>
      </c>
      <c r="I38" s="89">
        <v>1368.5</v>
      </c>
      <c r="J38" s="89">
        <v>1368.5</v>
      </c>
    </row>
    <row r="39" spans="1:11" ht="20.100000000000001" customHeight="1">
      <c r="A39" s="45" t="s">
        <v>325</v>
      </c>
      <c r="B39" s="50">
        <v>2134</v>
      </c>
      <c r="C39" s="89">
        <v>0</v>
      </c>
      <c r="D39" s="89">
        <v>0</v>
      </c>
      <c r="E39" s="89"/>
      <c r="F39" s="94">
        <f t="shared" si="0"/>
        <v>0</v>
      </c>
      <c r="G39" s="89"/>
      <c r="H39" s="89"/>
      <c r="I39" s="89"/>
      <c r="J39" s="89"/>
    </row>
    <row r="40" spans="1:11" s="46" customFormat="1">
      <c r="A40" s="55" t="s">
        <v>326</v>
      </c>
      <c r="B40" s="108">
        <v>2140</v>
      </c>
      <c r="C40" s="122">
        <f>SUM(C41,C42)</f>
        <v>0</v>
      </c>
      <c r="D40" s="122">
        <f>SUM(D41,D42)</f>
        <v>0</v>
      </c>
      <c r="E40" s="122">
        <f>SUM(E41,E42)</f>
        <v>0</v>
      </c>
      <c r="F40" s="126">
        <f>SUM(G40:J40)</f>
        <v>0</v>
      </c>
      <c r="G40" s="122">
        <f>SUM(G41,G42)</f>
        <v>0</v>
      </c>
      <c r="H40" s="122">
        <f>SUM(H41,H42)</f>
        <v>0</v>
      </c>
      <c r="I40" s="122">
        <f>SUM(I41,I42)</f>
        <v>0</v>
      </c>
      <c r="J40" s="122">
        <f>SUM(J41,J42)</f>
        <v>0</v>
      </c>
    </row>
    <row r="41" spans="1:11" ht="42.75" customHeight="1">
      <c r="A41" s="45" t="s">
        <v>265</v>
      </c>
      <c r="B41" s="50">
        <v>2141</v>
      </c>
      <c r="C41" s="89">
        <v>0</v>
      </c>
      <c r="D41" s="89">
        <v>0</v>
      </c>
      <c r="E41" s="89">
        <v>0</v>
      </c>
      <c r="F41" s="94">
        <f t="shared" si="0"/>
        <v>0</v>
      </c>
      <c r="G41" s="89">
        <v>0</v>
      </c>
      <c r="H41" s="89">
        <v>0</v>
      </c>
      <c r="I41" s="89">
        <v>0</v>
      </c>
      <c r="J41" s="89">
        <v>0</v>
      </c>
    </row>
    <row r="42" spans="1:11" ht="20.100000000000001" customHeight="1">
      <c r="A42" s="45" t="s">
        <v>327</v>
      </c>
      <c r="B42" s="50">
        <v>2142</v>
      </c>
      <c r="C42" s="89">
        <v>0</v>
      </c>
      <c r="D42" s="89">
        <v>0</v>
      </c>
      <c r="E42" s="89">
        <v>0</v>
      </c>
      <c r="F42" s="94">
        <f t="shared" si="0"/>
        <v>0</v>
      </c>
      <c r="G42" s="89">
        <v>0</v>
      </c>
      <c r="H42" s="89">
        <v>0</v>
      </c>
      <c r="I42" s="89">
        <v>0</v>
      </c>
      <c r="J42" s="89">
        <v>0</v>
      </c>
    </row>
    <row r="43" spans="1:11" s="46" customFormat="1" ht="27.75" customHeight="1">
      <c r="A43" s="55" t="s">
        <v>316</v>
      </c>
      <c r="B43" s="108">
        <v>2200</v>
      </c>
      <c r="C43" s="122">
        <f>SUM(C20,C30,C35,C40)</f>
        <v>16529</v>
      </c>
      <c r="D43" s="122">
        <f t="shared" ref="D43:J43" si="1">SUM(D20,D30,D35,D40)</f>
        <v>13017</v>
      </c>
      <c r="E43" s="122">
        <f t="shared" si="1"/>
        <v>18049</v>
      </c>
      <c r="F43" s="126">
        <f t="shared" si="0"/>
        <v>21597.8</v>
      </c>
      <c r="G43" s="122">
        <f t="shared" si="1"/>
        <v>5393.2</v>
      </c>
      <c r="H43" s="122">
        <f t="shared" si="1"/>
        <v>5216.6000000000004</v>
      </c>
      <c r="I43" s="122">
        <f t="shared" si="1"/>
        <v>5255</v>
      </c>
      <c r="J43" s="122">
        <f t="shared" si="1"/>
        <v>5733</v>
      </c>
      <c r="K43" s="44"/>
    </row>
    <row r="44" spans="1:11" s="46" customFormat="1" ht="20.100000000000001" customHeight="1">
      <c r="A44" s="66"/>
      <c r="B44" s="47"/>
      <c r="C44" s="64"/>
      <c r="D44" s="65"/>
      <c r="E44" s="65"/>
      <c r="F44" s="64"/>
      <c r="G44" s="65"/>
      <c r="H44" s="65"/>
      <c r="I44" s="65"/>
      <c r="J44" s="65"/>
    </row>
    <row r="45" spans="1:11" s="46" customFormat="1" ht="20.100000000000001" customHeight="1">
      <c r="A45" s="178" t="s">
        <v>477</v>
      </c>
      <c r="B45" s="47"/>
      <c r="C45" s="64"/>
      <c r="D45" s="65"/>
      <c r="E45" s="65"/>
      <c r="F45" s="64"/>
      <c r="G45" s="65"/>
      <c r="H45" s="213" t="s">
        <v>462</v>
      </c>
      <c r="I45" s="213"/>
      <c r="J45" s="213"/>
    </row>
    <row r="46" spans="1:11" s="46" customFormat="1" ht="20.100000000000001" customHeight="1">
      <c r="A46" s="66"/>
      <c r="B46" s="47"/>
      <c r="C46" s="64"/>
      <c r="D46" s="65"/>
      <c r="E46" s="65"/>
      <c r="F46" s="64"/>
      <c r="G46" s="65"/>
      <c r="H46" s="65"/>
      <c r="I46" s="65"/>
      <c r="J46" s="65"/>
    </row>
    <row r="47" spans="1:11" s="3" customFormat="1" ht="20.100000000000001" customHeight="1">
      <c r="A47" s="49" t="s">
        <v>463</v>
      </c>
      <c r="B47" s="1"/>
      <c r="C47" s="231"/>
      <c r="D47" s="233"/>
      <c r="E47" s="233"/>
      <c r="F47" s="233"/>
      <c r="G47" s="14"/>
      <c r="H47" s="234"/>
      <c r="I47" s="234"/>
      <c r="J47" s="234"/>
    </row>
    <row r="48" spans="1:11" s="2" customFormat="1" ht="20.100000000000001" customHeight="1">
      <c r="A48" s="67"/>
      <c r="B48" s="3"/>
      <c r="C48" s="226"/>
      <c r="D48" s="226"/>
      <c r="E48" s="226"/>
      <c r="F48" s="226"/>
      <c r="G48" s="28"/>
      <c r="H48" s="210"/>
      <c r="I48" s="210"/>
      <c r="J48" s="210"/>
    </row>
    <row r="49" spans="1:12" s="47" customFormat="1">
      <c r="A49" s="58"/>
      <c r="F49" s="44"/>
      <c r="G49" s="44"/>
      <c r="H49" s="44"/>
      <c r="I49" s="44"/>
      <c r="J49" s="44"/>
      <c r="K49" s="44"/>
      <c r="L49" s="44"/>
    </row>
    <row r="50" spans="1:12" s="47" customFormat="1">
      <c r="A50" s="58"/>
      <c r="F50" s="44"/>
      <c r="G50" s="44"/>
      <c r="H50" s="44"/>
      <c r="I50" s="44"/>
      <c r="J50" s="44"/>
      <c r="K50" s="44"/>
      <c r="L50" s="44"/>
    </row>
    <row r="51" spans="1:12" s="47" customFormat="1">
      <c r="A51" s="58"/>
      <c r="F51" s="44"/>
      <c r="G51" s="44"/>
      <c r="H51" s="44"/>
      <c r="I51" s="44"/>
      <c r="J51" s="44"/>
      <c r="K51" s="44"/>
      <c r="L51" s="44"/>
    </row>
    <row r="52" spans="1:12" s="47" customFormat="1">
      <c r="A52" s="58"/>
      <c r="F52" s="44"/>
      <c r="G52" s="44"/>
      <c r="H52" s="44"/>
      <c r="I52" s="44"/>
      <c r="J52" s="44"/>
      <c r="K52" s="44"/>
      <c r="L52" s="44"/>
    </row>
    <row r="53" spans="1:12" s="47" customFormat="1">
      <c r="A53" s="58"/>
      <c r="F53" s="44"/>
      <c r="G53" s="44"/>
      <c r="H53" s="44"/>
      <c r="I53" s="44"/>
      <c r="J53" s="44"/>
      <c r="K53" s="44"/>
      <c r="L53" s="44"/>
    </row>
    <row r="54" spans="1:12" s="47" customFormat="1">
      <c r="A54" s="58"/>
      <c r="F54" s="44"/>
      <c r="G54" s="44"/>
      <c r="H54" s="44"/>
      <c r="I54" s="44"/>
      <c r="J54" s="44"/>
      <c r="K54" s="44"/>
      <c r="L54" s="44"/>
    </row>
    <row r="55" spans="1:12" s="47" customFormat="1">
      <c r="A55" s="58"/>
      <c r="F55" s="44"/>
      <c r="G55" s="44"/>
      <c r="H55" s="44"/>
      <c r="I55" s="44"/>
      <c r="J55" s="44"/>
      <c r="K55" s="44"/>
      <c r="L55" s="44"/>
    </row>
    <row r="56" spans="1:12" s="47" customFormat="1">
      <c r="A56" s="58"/>
      <c r="F56" s="44"/>
      <c r="G56" s="44"/>
      <c r="H56" s="44"/>
      <c r="I56" s="44"/>
      <c r="J56" s="44"/>
      <c r="K56" s="44"/>
      <c r="L56" s="44"/>
    </row>
    <row r="57" spans="1:12" s="47" customFormat="1">
      <c r="A57" s="58"/>
      <c r="F57" s="44"/>
      <c r="G57" s="44"/>
      <c r="H57" s="44"/>
      <c r="I57" s="44"/>
      <c r="J57" s="44"/>
      <c r="K57" s="44"/>
      <c r="L57" s="44"/>
    </row>
    <row r="58" spans="1:12" s="47" customFormat="1">
      <c r="A58" s="58"/>
      <c r="F58" s="44"/>
      <c r="G58" s="44"/>
      <c r="H58" s="44"/>
      <c r="I58" s="44"/>
      <c r="J58" s="44"/>
      <c r="K58" s="44"/>
      <c r="L58" s="44"/>
    </row>
    <row r="59" spans="1:12" s="47" customFormat="1">
      <c r="A59" s="58"/>
      <c r="F59" s="44"/>
      <c r="G59" s="44"/>
      <c r="H59" s="44"/>
      <c r="I59" s="44"/>
      <c r="J59" s="44"/>
      <c r="K59" s="44"/>
      <c r="L59" s="44"/>
    </row>
    <row r="60" spans="1:12" s="47" customFormat="1">
      <c r="A60" s="58"/>
      <c r="F60" s="44"/>
      <c r="G60" s="44"/>
      <c r="H60" s="44"/>
      <c r="I60" s="44"/>
      <c r="J60" s="44"/>
      <c r="K60" s="44"/>
      <c r="L60" s="44"/>
    </row>
    <row r="61" spans="1:12" s="47" customFormat="1">
      <c r="A61" s="58"/>
      <c r="F61" s="44"/>
      <c r="G61" s="44"/>
      <c r="H61" s="44"/>
      <c r="I61" s="44"/>
      <c r="J61" s="44"/>
      <c r="K61" s="44"/>
      <c r="L61" s="44"/>
    </row>
    <row r="62" spans="1:12" s="47" customFormat="1">
      <c r="A62" s="58"/>
      <c r="F62" s="44"/>
      <c r="G62" s="44"/>
      <c r="H62" s="44"/>
      <c r="I62" s="44"/>
      <c r="J62" s="44"/>
      <c r="K62" s="44"/>
      <c r="L62" s="44"/>
    </row>
    <row r="63" spans="1:12" s="47" customFormat="1">
      <c r="A63" s="58"/>
      <c r="F63" s="44"/>
      <c r="G63" s="44"/>
      <c r="H63" s="44"/>
      <c r="I63" s="44"/>
      <c r="J63" s="44"/>
      <c r="K63" s="44"/>
      <c r="L63" s="44"/>
    </row>
    <row r="64" spans="1:12" s="47" customFormat="1">
      <c r="A64" s="58"/>
      <c r="F64" s="44"/>
      <c r="G64" s="44"/>
      <c r="H64" s="44"/>
      <c r="I64" s="44"/>
      <c r="J64" s="44"/>
      <c r="K64" s="44"/>
      <c r="L64" s="44"/>
    </row>
    <row r="65" spans="1:12" s="47" customFormat="1">
      <c r="A65" s="58"/>
      <c r="F65" s="44"/>
      <c r="G65" s="44"/>
      <c r="H65" s="44"/>
      <c r="I65" s="44"/>
      <c r="J65" s="44"/>
      <c r="K65" s="44"/>
      <c r="L65" s="44"/>
    </row>
    <row r="66" spans="1:12" s="47" customFormat="1">
      <c r="A66" s="58"/>
      <c r="F66" s="44"/>
      <c r="G66" s="44"/>
      <c r="H66" s="44"/>
      <c r="I66" s="44"/>
      <c r="J66" s="44"/>
      <c r="K66" s="44"/>
      <c r="L66" s="44"/>
    </row>
    <row r="67" spans="1:12" s="47" customFormat="1">
      <c r="A67" s="58"/>
      <c r="F67" s="44"/>
      <c r="G67" s="44"/>
      <c r="H67" s="44"/>
      <c r="I67" s="44"/>
      <c r="J67" s="44"/>
      <c r="K67" s="44"/>
      <c r="L67" s="44"/>
    </row>
    <row r="68" spans="1:12" s="47" customFormat="1">
      <c r="A68" s="58"/>
      <c r="F68" s="44"/>
      <c r="G68" s="44"/>
      <c r="H68" s="44"/>
      <c r="I68" s="44"/>
      <c r="J68" s="44"/>
      <c r="K68" s="44"/>
      <c r="L68" s="44"/>
    </row>
    <row r="69" spans="1:12" s="47" customFormat="1">
      <c r="A69" s="58"/>
      <c r="F69" s="44"/>
      <c r="G69" s="44"/>
      <c r="H69" s="44"/>
      <c r="I69" s="44"/>
      <c r="J69" s="44"/>
      <c r="K69" s="44"/>
      <c r="L69" s="44"/>
    </row>
    <row r="70" spans="1:12" s="47" customFormat="1">
      <c r="A70" s="58"/>
      <c r="F70" s="44"/>
      <c r="G70" s="44"/>
      <c r="H70" s="44"/>
      <c r="I70" s="44"/>
      <c r="J70" s="44"/>
      <c r="K70" s="44"/>
      <c r="L70" s="44"/>
    </row>
    <row r="71" spans="1:12" s="47" customFormat="1">
      <c r="A71" s="58"/>
      <c r="F71" s="44"/>
      <c r="G71" s="44"/>
      <c r="H71" s="44"/>
      <c r="I71" s="44"/>
      <c r="J71" s="44"/>
      <c r="K71" s="44"/>
      <c r="L71" s="44"/>
    </row>
    <row r="72" spans="1:12" s="47" customFormat="1">
      <c r="A72" s="58"/>
      <c r="F72" s="44"/>
      <c r="G72" s="44"/>
      <c r="H72" s="44"/>
      <c r="I72" s="44"/>
      <c r="J72" s="44"/>
      <c r="K72" s="44"/>
      <c r="L72" s="44"/>
    </row>
    <row r="73" spans="1:12" s="47" customFormat="1">
      <c r="A73" s="58"/>
      <c r="F73" s="44"/>
      <c r="G73" s="44"/>
      <c r="H73" s="44"/>
      <c r="I73" s="44"/>
      <c r="J73" s="44"/>
      <c r="K73" s="44"/>
      <c r="L73" s="44"/>
    </row>
    <row r="74" spans="1:12" s="47" customFormat="1">
      <c r="A74" s="58"/>
      <c r="F74" s="44"/>
      <c r="G74" s="44"/>
      <c r="H74" s="44"/>
      <c r="I74" s="44"/>
      <c r="J74" s="44"/>
      <c r="K74" s="44"/>
      <c r="L74" s="44"/>
    </row>
    <row r="75" spans="1:12" s="47" customFormat="1">
      <c r="A75" s="58"/>
      <c r="F75" s="44"/>
      <c r="G75" s="44"/>
      <c r="H75" s="44"/>
      <c r="I75" s="44"/>
      <c r="J75" s="44"/>
      <c r="K75" s="44"/>
      <c r="L75" s="44"/>
    </row>
    <row r="76" spans="1:12" s="47" customFormat="1">
      <c r="A76" s="58"/>
      <c r="F76" s="44"/>
      <c r="G76" s="44"/>
      <c r="H76" s="44"/>
      <c r="I76" s="44"/>
      <c r="J76" s="44"/>
      <c r="K76" s="44"/>
      <c r="L76" s="44"/>
    </row>
    <row r="77" spans="1:12" s="47" customFormat="1">
      <c r="A77" s="58"/>
      <c r="F77" s="44"/>
      <c r="G77" s="44"/>
      <c r="H77" s="44"/>
      <c r="I77" s="44"/>
      <c r="J77" s="44"/>
      <c r="K77" s="44"/>
      <c r="L77" s="44"/>
    </row>
    <row r="78" spans="1:12" s="47" customFormat="1">
      <c r="A78" s="58"/>
      <c r="F78" s="44"/>
      <c r="G78" s="44"/>
      <c r="H78" s="44"/>
      <c r="I78" s="44"/>
      <c r="J78" s="44"/>
      <c r="K78" s="44"/>
      <c r="L78" s="44"/>
    </row>
    <row r="79" spans="1:12" s="47" customFormat="1">
      <c r="A79" s="58"/>
      <c r="F79" s="44"/>
      <c r="G79" s="44"/>
      <c r="H79" s="44"/>
      <c r="I79" s="44"/>
      <c r="J79" s="44"/>
      <c r="K79" s="44"/>
      <c r="L79" s="44"/>
    </row>
    <row r="80" spans="1:12" s="47" customFormat="1">
      <c r="A80" s="58"/>
      <c r="F80" s="44"/>
      <c r="G80" s="44"/>
      <c r="H80" s="44"/>
      <c r="I80" s="44"/>
      <c r="J80" s="44"/>
      <c r="K80" s="44"/>
      <c r="L80" s="44"/>
    </row>
    <row r="81" spans="1:12" s="47" customFormat="1">
      <c r="A81" s="58"/>
      <c r="F81" s="44"/>
      <c r="G81" s="44"/>
      <c r="H81" s="44"/>
      <c r="I81" s="44"/>
      <c r="J81" s="44"/>
      <c r="K81" s="44"/>
      <c r="L81" s="44"/>
    </row>
    <row r="82" spans="1:12" s="47" customFormat="1">
      <c r="A82" s="58"/>
      <c r="F82" s="44"/>
      <c r="G82" s="44"/>
      <c r="H82" s="44"/>
      <c r="I82" s="44"/>
      <c r="J82" s="44"/>
      <c r="K82" s="44"/>
      <c r="L82" s="44"/>
    </row>
    <row r="83" spans="1:12" s="47" customFormat="1">
      <c r="A83" s="58"/>
      <c r="F83" s="44"/>
      <c r="G83" s="44"/>
      <c r="H83" s="44"/>
      <c r="I83" s="44"/>
      <c r="J83" s="44"/>
      <c r="K83" s="44"/>
      <c r="L83" s="44"/>
    </row>
    <row r="84" spans="1:12" s="47" customFormat="1">
      <c r="A84" s="58"/>
      <c r="F84" s="44"/>
      <c r="G84" s="44"/>
      <c r="H84" s="44"/>
      <c r="I84" s="44"/>
      <c r="J84" s="44"/>
      <c r="K84" s="44"/>
      <c r="L84" s="44"/>
    </row>
    <row r="85" spans="1:12" s="47" customFormat="1">
      <c r="A85" s="58"/>
      <c r="F85" s="44"/>
      <c r="G85" s="44"/>
      <c r="H85" s="44"/>
      <c r="I85" s="44"/>
      <c r="J85" s="44"/>
      <c r="K85" s="44"/>
      <c r="L85" s="44"/>
    </row>
    <row r="86" spans="1:12" s="47" customFormat="1">
      <c r="A86" s="58"/>
      <c r="F86" s="44"/>
      <c r="G86" s="44"/>
      <c r="H86" s="44"/>
      <c r="I86" s="44"/>
      <c r="J86" s="44"/>
      <c r="K86" s="44"/>
      <c r="L86" s="44"/>
    </row>
    <row r="87" spans="1:12" s="47" customFormat="1">
      <c r="A87" s="58"/>
      <c r="F87" s="44"/>
      <c r="G87" s="44"/>
      <c r="H87" s="44"/>
      <c r="I87" s="44"/>
      <c r="J87" s="44"/>
      <c r="K87" s="44"/>
      <c r="L87" s="44"/>
    </row>
    <row r="88" spans="1:12" s="47" customFormat="1">
      <c r="A88" s="58"/>
      <c r="F88" s="44"/>
      <c r="G88" s="44"/>
      <c r="H88" s="44"/>
      <c r="I88" s="44"/>
      <c r="J88" s="44"/>
      <c r="K88" s="44"/>
      <c r="L88" s="44"/>
    </row>
    <row r="89" spans="1:12" s="47" customFormat="1">
      <c r="A89" s="58"/>
      <c r="F89" s="44"/>
      <c r="G89" s="44"/>
      <c r="H89" s="44"/>
      <c r="I89" s="44"/>
      <c r="J89" s="44"/>
      <c r="K89" s="44"/>
      <c r="L89" s="44"/>
    </row>
    <row r="90" spans="1:12" s="47" customFormat="1">
      <c r="A90" s="58"/>
      <c r="F90" s="44"/>
      <c r="G90" s="44"/>
      <c r="H90" s="44"/>
      <c r="I90" s="44"/>
      <c r="J90" s="44"/>
      <c r="K90" s="44"/>
      <c r="L90" s="44"/>
    </row>
    <row r="91" spans="1:12" s="47" customFormat="1">
      <c r="A91" s="58"/>
      <c r="F91" s="44"/>
      <c r="G91" s="44"/>
      <c r="H91" s="44"/>
      <c r="I91" s="44"/>
      <c r="J91" s="44"/>
      <c r="K91" s="44"/>
      <c r="L91" s="44"/>
    </row>
    <row r="92" spans="1:12" s="47" customFormat="1">
      <c r="A92" s="58"/>
      <c r="F92" s="44"/>
      <c r="G92" s="44"/>
      <c r="H92" s="44"/>
      <c r="I92" s="44"/>
      <c r="J92" s="44"/>
      <c r="K92" s="44"/>
      <c r="L92" s="44"/>
    </row>
    <row r="93" spans="1:12" s="47" customFormat="1">
      <c r="A93" s="58"/>
      <c r="F93" s="44"/>
      <c r="G93" s="44"/>
      <c r="H93" s="44"/>
      <c r="I93" s="44"/>
      <c r="J93" s="44"/>
      <c r="K93" s="44"/>
      <c r="L93" s="44"/>
    </row>
    <row r="94" spans="1:12" s="47" customFormat="1">
      <c r="A94" s="58"/>
      <c r="F94" s="44"/>
      <c r="G94" s="44"/>
      <c r="H94" s="44"/>
      <c r="I94" s="44"/>
      <c r="J94" s="44"/>
      <c r="K94" s="44"/>
      <c r="L94" s="44"/>
    </row>
    <row r="95" spans="1:12" s="47" customFormat="1">
      <c r="A95" s="58"/>
      <c r="F95" s="44"/>
      <c r="G95" s="44"/>
      <c r="H95" s="44"/>
      <c r="I95" s="44"/>
      <c r="J95" s="44"/>
      <c r="K95" s="44"/>
      <c r="L95" s="44"/>
    </row>
    <row r="96" spans="1:12" s="47" customFormat="1">
      <c r="A96" s="58"/>
      <c r="F96" s="44"/>
      <c r="G96" s="44"/>
      <c r="H96" s="44"/>
      <c r="I96" s="44"/>
      <c r="J96" s="44"/>
      <c r="K96" s="44"/>
      <c r="L96" s="44"/>
    </row>
    <row r="97" spans="1:12" s="47" customFormat="1">
      <c r="A97" s="58"/>
      <c r="F97" s="44"/>
      <c r="G97" s="44"/>
      <c r="H97" s="44"/>
      <c r="I97" s="44"/>
      <c r="J97" s="44"/>
      <c r="K97" s="44"/>
      <c r="L97" s="44"/>
    </row>
    <row r="98" spans="1:12" s="47" customFormat="1">
      <c r="A98" s="58"/>
      <c r="F98" s="44"/>
      <c r="G98" s="44"/>
      <c r="H98" s="44"/>
      <c r="I98" s="44"/>
      <c r="J98" s="44"/>
      <c r="K98" s="44"/>
      <c r="L98" s="44"/>
    </row>
    <row r="99" spans="1:12" s="47" customFormat="1">
      <c r="A99" s="58"/>
      <c r="F99" s="44"/>
      <c r="G99" s="44"/>
      <c r="H99" s="44"/>
      <c r="I99" s="44"/>
      <c r="J99" s="44"/>
      <c r="K99" s="44"/>
      <c r="L99" s="44"/>
    </row>
    <row r="100" spans="1:12" s="47" customFormat="1">
      <c r="A100" s="58"/>
      <c r="F100" s="44"/>
      <c r="G100" s="44"/>
      <c r="H100" s="44"/>
      <c r="I100" s="44"/>
      <c r="J100" s="44"/>
      <c r="K100" s="44"/>
      <c r="L100" s="44"/>
    </row>
    <row r="101" spans="1:12" s="47" customFormat="1">
      <c r="A101" s="58"/>
      <c r="F101" s="44"/>
      <c r="G101" s="44"/>
      <c r="H101" s="44"/>
      <c r="I101" s="44"/>
      <c r="J101" s="44"/>
      <c r="K101" s="44"/>
      <c r="L101" s="44"/>
    </row>
    <row r="102" spans="1:12" s="47" customFormat="1">
      <c r="A102" s="58"/>
      <c r="F102" s="44"/>
      <c r="G102" s="44"/>
      <c r="H102" s="44"/>
      <c r="I102" s="44"/>
      <c r="J102" s="44"/>
      <c r="K102" s="44"/>
      <c r="L102" s="44"/>
    </row>
    <row r="103" spans="1:12" s="47" customFormat="1">
      <c r="A103" s="58"/>
      <c r="F103" s="44"/>
      <c r="G103" s="44"/>
      <c r="H103" s="44"/>
      <c r="I103" s="44"/>
      <c r="J103" s="44"/>
      <c r="K103" s="44"/>
      <c r="L103" s="44"/>
    </row>
    <row r="104" spans="1:12" s="47" customFormat="1">
      <c r="A104" s="58"/>
      <c r="F104" s="44"/>
      <c r="G104" s="44"/>
      <c r="H104" s="44"/>
      <c r="I104" s="44"/>
      <c r="J104" s="44"/>
      <c r="K104" s="44"/>
      <c r="L104" s="44"/>
    </row>
    <row r="105" spans="1:12" s="47" customFormat="1">
      <c r="A105" s="58"/>
      <c r="F105" s="44"/>
      <c r="G105" s="44"/>
      <c r="H105" s="44"/>
      <c r="I105" s="44"/>
      <c r="J105" s="44"/>
      <c r="K105" s="44"/>
      <c r="L105" s="44"/>
    </row>
    <row r="106" spans="1:12" s="47" customFormat="1">
      <c r="A106" s="58"/>
      <c r="F106" s="44"/>
      <c r="G106" s="44"/>
      <c r="H106" s="44"/>
      <c r="I106" s="44"/>
      <c r="J106" s="44"/>
      <c r="K106" s="44"/>
      <c r="L106" s="44"/>
    </row>
    <row r="107" spans="1:12" s="47" customFormat="1">
      <c r="A107" s="58"/>
      <c r="F107" s="44"/>
      <c r="G107" s="44"/>
      <c r="H107" s="44"/>
      <c r="I107" s="44"/>
      <c r="J107" s="44"/>
      <c r="K107" s="44"/>
      <c r="L107" s="44"/>
    </row>
    <row r="108" spans="1:12" s="47" customFormat="1">
      <c r="A108" s="58"/>
      <c r="F108" s="44"/>
      <c r="G108" s="44"/>
      <c r="H108" s="44"/>
      <c r="I108" s="44"/>
      <c r="J108" s="44"/>
      <c r="K108" s="44"/>
      <c r="L108" s="44"/>
    </row>
    <row r="109" spans="1:12" s="47" customFormat="1">
      <c r="A109" s="58"/>
      <c r="F109" s="44"/>
      <c r="G109" s="44"/>
      <c r="H109" s="44"/>
      <c r="I109" s="44"/>
      <c r="J109" s="44"/>
      <c r="K109" s="44"/>
      <c r="L109" s="44"/>
    </row>
    <row r="110" spans="1:12" s="47" customFormat="1">
      <c r="A110" s="58"/>
      <c r="F110" s="44"/>
      <c r="G110" s="44"/>
      <c r="H110" s="44"/>
      <c r="I110" s="44"/>
      <c r="J110" s="44"/>
      <c r="K110" s="44"/>
      <c r="L110" s="44"/>
    </row>
    <row r="111" spans="1:12" s="47" customFormat="1">
      <c r="A111" s="58"/>
      <c r="F111" s="44"/>
      <c r="G111" s="44"/>
      <c r="H111" s="44"/>
      <c r="I111" s="44"/>
      <c r="J111" s="44"/>
      <c r="K111" s="44"/>
      <c r="L111" s="44"/>
    </row>
    <row r="112" spans="1:12" s="47" customFormat="1">
      <c r="A112" s="58"/>
      <c r="F112" s="44"/>
      <c r="G112" s="44"/>
      <c r="H112" s="44"/>
      <c r="I112" s="44"/>
      <c r="J112" s="44"/>
      <c r="K112" s="44"/>
      <c r="L112" s="44"/>
    </row>
    <row r="113" spans="1:12" s="47" customFormat="1">
      <c r="A113" s="58"/>
      <c r="F113" s="44"/>
      <c r="G113" s="44"/>
      <c r="H113" s="44"/>
      <c r="I113" s="44"/>
      <c r="J113" s="44"/>
      <c r="K113" s="44"/>
      <c r="L113" s="44"/>
    </row>
    <row r="114" spans="1:12" s="47" customFormat="1">
      <c r="A114" s="58"/>
      <c r="F114" s="44"/>
      <c r="G114" s="44"/>
      <c r="H114" s="44"/>
      <c r="I114" s="44"/>
      <c r="J114" s="44"/>
      <c r="K114" s="44"/>
      <c r="L114" s="44"/>
    </row>
    <row r="115" spans="1:12" s="47" customFormat="1">
      <c r="A115" s="58"/>
      <c r="F115" s="44"/>
      <c r="G115" s="44"/>
      <c r="H115" s="44"/>
      <c r="I115" s="44"/>
      <c r="J115" s="44"/>
      <c r="K115" s="44"/>
      <c r="L115" s="44"/>
    </row>
    <row r="116" spans="1:12" s="47" customFormat="1">
      <c r="A116" s="58"/>
      <c r="F116" s="44"/>
      <c r="G116" s="44"/>
      <c r="H116" s="44"/>
      <c r="I116" s="44"/>
      <c r="J116" s="44"/>
      <c r="K116" s="44"/>
      <c r="L116" s="44"/>
    </row>
    <row r="117" spans="1:12" s="47" customFormat="1">
      <c r="A117" s="58"/>
      <c r="F117" s="44"/>
      <c r="G117" s="44"/>
      <c r="H117" s="44"/>
      <c r="I117" s="44"/>
      <c r="J117" s="44"/>
      <c r="K117" s="44"/>
      <c r="L117" s="44"/>
    </row>
    <row r="118" spans="1:12" s="47" customFormat="1">
      <c r="A118" s="58"/>
      <c r="F118" s="44"/>
      <c r="G118" s="44"/>
      <c r="H118" s="44"/>
      <c r="I118" s="44"/>
      <c r="J118" s="44"/>
      <c r="K118" s="44"/>
      <c r="L118" s="44"/>
    </row>
    <row r="119" spans="1:12" s="47" customFormat="1">
      <c r="A119" s="58"/>
      <c r="F119" s="44"/>
      <c r="G119" s="44"/>
      <c r="H119" s="44"/>
      <c r="I119" s="44"/>
      <c r="J119" s="44"/>
      <c r="K119" s="44"/>
      <c r="L119" s="44"/>
    </row>
    <row r="120" spans="1:12" s="47" customFormat="1">
      <c r="A120" s="58"/>
      <c r="F120" s="44"/>
      <c r="G120" s="44"/>
      <c r="H120" s="44"/>
      <c r="I120" s="44"/>
      <c r="J120" s="44"/>
      <c r="K120" s="44"/>
      <c r="L120" s="44"/>
    </row>
    <row r="121" spans="1:12" s="47" customFormat="1">
      <c r="A121" s="58"/>
      <c r="F121" s="44"/>
      <c r="G121" s="44"/>
      <c r="H121" s="44"/>
      <c r="I121" s="44"/>
      <c r="J121" s="44"/>
      <c r="K121" s="44"/>
      <c r="L121" s="44"/>
    </row>
    <row r="122" spans="1:12" s="47" customFormat="1">
      <c r="A122" s="58"/>
      <c r="F122" s="44"/>
      <c r="G122" s="44"/>
      <c r="H122" s="44"/>
      <c r="I122" s="44"/>
      <c r="J122" s="44"/>
      <c r="K122" s="44"/>
      <c r="L122" s="44"/>
    </row>
    <row r="123" spans="1:12" s="47" customFormat="1">
      <c r="A123" s="58"/>
      <c r="F123" s="44"/>
      <c r="G123" s="44"/>
      <c r="H123" s="44"/>
      <c r="I123" s="44"/>
      <c r="J123" s="44"/>
      <c r="K123" s="44"/>
      <c r="L123" s="44"/>
    </row>
    <row r="124" spans="1:12" s="47" customFormat="1">
      <c r="A124" s="58"/>
      <c r="F124" s="44"/>
      <c r="G124" s="44"/>
      <c r="H124" s="44"/>
      <c r="I124" s="44"/>
      <c r="J124" s="44"/>
      <c r="K124" s="44"/>
      <c r="L124" s="44"/>
    </row>
    <row r="125" spans="1:12" s="47" customFormat="1">
      <c r="A125" s="58"/>
      <c r="F125" s="44"/>
      <c r="G125" s="44"/>
      <c r="H125" s="44"/>
      <c r="I125" s="44"/>
      <c r="J125" s="44"/>
      <c r="K125" s="44"/>
      <c r="L125" s="44"/>
    </row>
    <row r="126" spans="1:12" s="47" customFormat="1">
      <c r="A126" s="58"/>
      <c r="F126" s="44"/>
      <c r="G126" s="44"/>
      <c r="H126" s="44"/>
      <c r="I126" s="44"/>
      <c r="J126" s="44"/>
      <c r="K126" s="44"/>
      <c r="L126" s="44"/>
    </row>
    <row r="127" spans="1:12" s="47" customFormat="1">
      <c r="A127" s="58"/>
      <c r="F127" s="44"/>
      <c r="G127" s="44"/>
      <c r="H127" s="44"/>
      <c r="I127" s="44"/>
      <c r="J127" s="44"/>
      <c r="K127" s="44"/>
      <c r="L127" s="44"/>
    </row>
    <row r="128" spans="1:12" s="47" customFormat="1">
      <c r="A128" s="58"/>
      <c r="F128" s="44"/>
      <c r="G128" s="44"/>
      <c r="H128" s="44"/>
      <c r="I128" s="44"/>
      <c r="J128" s="44"/>
      <c r="K128" s="44"/>
      <c r="L128" s="44"/>
    </row>
    <row r="129" spans="1:12" s="47" customFormat="1">
      <c r="A129" s="58"/>
      <c r="F129" s="44"/>
      <c r="G129" s="44"/>
      <c r="H129" s="44"/>
      <c r="I129" s="44"/>
      <c r="J129" s="44"/>
      <c r="K129" s="44"/>
      <c r="L129" s="44"/>
    </row>
    <row r="130" spans="1:12" s="47" customFormat="1">
      <c r="A130" s="58"/>
      <c r="F130" s="44"/>
      <c r="G130" s="44"/>
      <c r="H130" s="44"/>
      <c r="I130" s="44"/>
      <c r="J130" s="44"/>
      <c r="K130" s="44"/>
      <c r="L130" s="44"/>
    </row>
    <row r="131" spans="1:12" s="47" customFormat="1">
      <c r="A131" s="58"/>
      <c r="F131" s="44"/>
      <c r="G131" s="44"/>
      <c r="H131" s="44"/>
      <c r="I131" s="44"/>
      <c r="J131" s="44"/>
      <c r="K131" s="44"/>
      <c r="L131" s="44"/>
    </row>
    <row r="132" spans="1:12" s="47" customFormat="1">
      <c r="A132" s="58"/>
      <c r="F132" s="44"/>
      <c r="G132" s="44"/>
      <c r="H132" s="44"/>
      <c r="I132" s="44"/>
      <c r="J132" s="44"/>
      <c r="K132" s="44"/>
      <c r="L132" s="44"/>
    </row>
    <row r="133" spans="1:12" s="47" customFormat="1">
      <c r="A133" s="58"/>
      <c r="F133" s="44"/>
      <c r="G133" s="44"/>
      <c r="H133" s="44"/>
      <c r="I133" s="44"/>
      <c r="J133" s="44"/>
      <c r="K133" s="44"/>
      <c r="L133" s="44"/>
    </row>
    <row r="134" spans="1:12" s="47" customFormat="1">
      <c r="A134" s="58"/>
      <c r="F134" s="44"/>
      <c r="G134" s="44"/>
      <c r="H134" s="44"/>
      <c r="I134" s="44"/>
      <c r="J134" s="44"/>
      <c r="K134" s="44"/>
      <c r="L134" s="44"/>
    </row>
    <row r="135" spans="1:12" s="47" customFormat="1">
      <c r="A135" s="58"/>
      <c r="F135" s="44"/>
      <c r="G135" s="44"/>
      <c r="H135" s="44"/>
      <c r="I135" s="44"/>
      <c r="J135" s="44"/>
      <c r="K135" s="44"/>
      <c r="L135" s="44"/>
    </row>
    <row r="136" spans="1:12" s="47" customFormat="1">
      <c r="A136" s="58"/>
      <c r="F136" s="44"/>
      <c r="G136" s="44"/>
      <c r="H136" s="44"/>
      <c r="I136" s="44"/>
      <c r="J136" s="44"/>
      <c r="K136" s="44"/>
      <c r="L136" s="44"/>
    </row>
    <row r="137" spans="1:12" s="47" customFormat="1">
      <c r="A137" s="58"/>
      <c r="F137" s="44"/>
      <c r="G137" s="44"/>
      <c r="H137" s="44"/>
      <c r="I137" s="44"/>
      <c r="J137" s="44"/>
      <c r="K137" s="44"/>
      <c r="L137" s="44"/>
    </row>
    <row r="138" spans="1:12" s="47" customFormat="1">
      <c r="A138" s="58"/>
      <c r="F138" s="44"/>
      <c r="G138" s="44"/>
      <c r="H138" s="44"/>
      <c r="I138" s="44"/>
      <c r="J138" s="44"/>
      <c r="K138" s="44"/>
      <c r="L138" s="44"/>
    </row>
    <row r="139" spans="1:12" s="47" customFormat="1">
      <c r="A139" s="58"/>
      <c r="F139" s="44"/>
      <c r="G139" s="44"/>
      <c r="H139" s="44"/>
      <c r="I139" s="44"/>
      <c r="J139" s="44"/>
      <c r="K139" s="44"/>
      <c r="L139" s="44"/>
    </row>
    <row r="140" spans="1:12" s="47" customFormat="1">
      <c r="A140" s="58"/>
      <c r="F140" s="44"/>
      <c r="G140" s="44"/>
      <c r="H140" s="44"/>
      <c r="I140" s="44"/>
      <c r="J140" s="44"/>
      <c r="K140" s="44"/>
      <c r="L140" s="44"/>
    </row>
    <row r="141" spans="1:12" s="47" customFormat="1">
      <c r="A141" s="58"/>
      <c r="F141" s="44"/>
      <c r="G141" s="44"/>
      <c r="H141" s="44"/>
      <c r="I141" s="44"/>
      <c r="J141" s="44"/>
      <c r="K141" s="44"/>
      <c r="L141" s="44"/>
    </row>
    <row r="142" spans="1:12" s="47" customFormat="1">
      <c r="A142" s="58"/>
      <c r="F142" s="44"/>
      <c r="G142" s="44"/>
      <c r="H142" s="44"/>
      <c r="I142" s="44"/>
      <c r="J142" s="44"/>
      <c r="K142" s="44"/>
      <c r="L142" s="44"/>
    </row>
    <row r="143" spans="1:12" s="47" customFormat="1">
      <c r="A143" s="58"/>
      <c r="F143" s="44"/>
      <c r="G143" s="44"/>
      <c r="H143" s="44"/>
      <c r="I143" s="44"/>
      <c r="J143" s="44"/>
      <c r="K143" s="44"/>
      <c r="L143" s="44"/>
    </row>
    <row r="144" spans="1:12" s="47" customFormat="1">
      <c r="A144" s="58"/>
      <c r="F144" s="44"/>
      <c r="G144" s="44"/>
      <c r="H144" s="44"/>
      <c r="I144" s="44"/>
      <c r="J144" s="44"/>
      <c r="K144" s="44"/>
      <c r="L144" s="44"/>
    </row>
    <row r="145" spans="1:12" s="47" customFormat="1">
      <c r="A145" s="58"/>
      <c r="F145" s="44"/>
      <c r="G145" s="44"/>
      <c r="H145" s="44"/>
      <c r="I145" s="44"/>
      <c r="J145" s="44"/>
      <c r="K145" s="44"/>
      <c r="L145" s="44"/>
    </row>
    <row r="146" spans="1:12" s="47" customFormat="1">
      <c r="A146" s="58"/>
      <c r="F146" s="44"/>
      <c r="G146" s="44"/>
      <c r="H146" s="44"/>
      <c r="I146" s="44"/>
      <c r="J146" s="44"/>
      <c r="K146" s="44"/>
      <c r="L146" s="44"/>
    </row>
    <row r="147" spans="1:12" s="47" customFormat="1">
      <c r="A147" s="58"/>
      <c r="F147" s="44"/>
      <c r="G147" s="44"/>
      <c r="H147" s="44"/>
      <c r="I147" s="44"/>
      <c r="J147" s="44"/>
      <c r="K147" s="44"/>
      <c r="L147" s="44"/>
    </row>
    <row r="148" spans="1:12" s="47" customFormat="1">
      <c r="A148" s="58"/>
      <c r="F148" s="44"/>
      <c r="G148" s="44"/>
      <c r="H148" s="44"/>
      <c r="I148" s="44"/>
      <c r="J148" s="44"/>
      <c r="K148" s="44"/>
      <c r="L148" s="44"/>
    </row>
    <row r="149" spans="1:12" s="47" customFormat="1">
      <c r="A149" s="58"/>
      <c r="F149" s="44"/>
      <c r="G149" s="44"/>
      <c r="H149" s="44"/>
      <c r="I149" s="44"/>
      <c r="J149" s="44"/>
      <c r="K149" s="44"/>
      <c r="L149" s="44"/>
    </row>
    <row r="150" spans="1:12" s="47" customFormat="1">
      <c r="A150" s="58"/>
      <c r="F150" s="44"/>
      <c r="G150" s="44"/>
      <c r="H150" s="44"/>
      <c r="I150" s="44"/>
      <c r="J150" s="44"/>
      <c r="K150" s="44"/>
      <c r="L150" s="44"/>
    </row>
    <row r="151" spans="1:12" s="47" customFormat="1">
      <c r="A151" s="58"/>
      <c r="F151" s="44"/>
      <c r="G151" s="44"/>
      <c r="H151" s="44"/>
      <c r="I151" s="44"/>
      <c r="J151" s="44"/>
      <c r="K151" s="44"/>
      <c r="L151" s="44"/>
    </row>
    <row r="152" spans="1:12" s="47" customFormat="1">
      <c r="A152" s="58"/>
      <c r="F152" s="44"/>
      <c r="G152" s="44"/>
      <c r="H152" s="44"/>
      <c r="I152" s="44"/>
      <c r="J152" s="44"/>
      <c r="K152" s="44"/>
      <c r="L152" s="44"/>
    </row>
    <row r="153" spans="1:12" s="47" customFormat="1">
      <c r="A153" s="58"/>
      <c r="F153" s="44"/>
      <c r="G153" s="44"/>
      <c r="H153" s="44"/>
      <c r="I153" s="44"/>
      <c r="J153" s="44"/>
      <c r="K153" s="44"/>
      <c r="L153" s="44"/>
    </row>
    <row r="154" spans="1:12" s="47" customFormat="1">
      <c r="A154" s="58"/>
      <c r="F154" s="44"/>
      <c r="G154" s="44"/>
      <c r="H154" s="44"/>
      <c r="I154" s="44"/>
      <c r="J154" s="44"/>
      <c r="K154" s="44"/>
      <c r="L154" s="44"/>
    </row>
    <row r="155" spans="1:12" s="47" customFormat="1">
      <c r="A155" s="58"/>
      <c r="F155" s="44"/>
      <c r="G155" s="44"/>
      <c r="H155" s="44"/>
      <c r="I155" s="44"/>
      <c r="J155" s="44"/>
      <c r="K155" s="44"/>
      <c r="L155" s="44"/>
    </row>
    <row r="156" spans="1:12" s="47" customFormat="1">
      <c r="A156" s="58"/>
      <c r="F156" s="44"/>
      <c r="G156" s="44"/>
      <c r="H156" s="44"/>
      <c r="I156" s="44"/>
      <c r="J156" s="44"/>
      <c r="K156" s="44"/>
      <c r="L156" s="44"/>
    </row>
    <row r="157" spans="1:12" s="47" customFormat="1">
      <c r="A157" s="58"/>
      <c r="F157" s="44"/>
      <c r="G157" s="44"/>
      <c r="H157" s="44"/>
      <c r="I157" s="44"/>
      <c r="J157" s="44"/>
      <c r="K157" s="44"/>
      <c r="L157" s="44"/>
    </row>
    <row r="158" spans="1:12" s="47" customFormat="1">
      <c r="A158" s="58"/>
      <c r="F158" s="44"/>
      <c r="G158" s="44"/>
      <c r="H158" s="44"/>
      <c r="I158" s="44"/>
      <c r="J158" s="44"/>
      <c r="K158" s="44"/>
      <c r="L158" s="44"/>
    </row>
    <row r="159" spans="1:12" s="47" customFormat="1">
      <c r="A159" s="58"/>
      <c r="F159" s="44"/>
      <c r="G159" s="44"/>
      <c r="H159" s="44"/>
      <c r="I159" s="44"/>
      <c r="J159" s="44"/>
      <c r="K159" s="44"/>
      <c r="L159" s="44"/>
    </row>
    <row r="160" spans="1:12" s="47" customFormat="1">
      <c r="A160" s="58"/>
      <c r="F160" s="44"/>
      <c r="G160" s="44"/>
      <c r="H160" s="44"/>
      <c r="I160" s="44"/>
      <c r="J160" s="44"/>
      <c r="K160" s="44"/>
      <c r="L160" s="44"/>
    </row>
    <row r="161" spans="1:12" s="47" customFormat="1">
      <c r="A161" s="58"/>
      <c r="F161" s="44"/>
      <c r="G161" s="44"/>
      <c r="H161" s="44"/>
      <c r="I161" s="44"/>
      <c r="J161" s="44"/>
      <c r="K161" s="44"/>
      <c r="L161" s="44"/>
    </row>
    <row r="162" spans="1:12" s="47" customFormat="1">
      <c r="A162" s="58"/>
      <c r="F162" s="44"/>
      <c r="G162" s="44"/>
      <c r="H162" s="44"/>
      <c r="I162" s="44"/>
      <c r="J162" s="44"/>
      <c r="K162" s="44"/>
      <c r="L162" s="44"/>
    </row>
    <row r="163" spans="1:12" s="47" customFormat="1">
      <c r="A163" s="58"/>
      <c r="F163" s="44"/>
      <c r="G163" s="44"/>
      <c r="H163" s="44"/>
      <c r="I163" s="44"/>
      <c r="J163" s="44"/>
      <c r="K163" s="44"/>
      <c r="L163" s="44"/>
    </row>
    <row r="164" spans="1:12" s="47" customFormat="1">
      <c r="A164" s="58"/>
      <c r="F164" s="44"/>
      <c r="G164" s="44"/>
      <c r="H164" s="44"/>
      <c r="I164" s="44"/>
      <c r="J164" s="44"/>
      <c r="K164" s="44"/>
      <c r="L164" s="44"/>
    </row>
    <row r="165" spans="1:12" s="47" customFormat="1">
      <c r="A165" s="58"/>
      <c r="F165" s="44"/>
      <c r="G165" s="44"/>
      <c r="H165" s="44"/>
      <c r="I165" s="44"/>
      <c r="J165" s="44"/>
      <c r="K165" s="44"/>
      <c r="L165" s="44"/>
    </row>
    <row r="166" spans="1:12" s="47" customFormat="1">
      <c r="A166" s="58"/>
      <c r="F166" s="44"/>
      <c r="G166" s="44"/>
      <c r="H166" s="44"/>
      <c r="I166" s="44"/>
      <c r="J166" s="44"/>
      <c r="K166" s="44"/>
      <c r="L166" s="44"/>
    </row>
    <row r="167" spans="1:12" s="47" customFormat="1">
      <c r="A167" s="58"/>
      <c r="F167" s="44"/>
      <c r="G167" s="44"/>
      <c r="H167" s="44"/>
      <c r="I167" s="44"/>
      <c r="J167" s="44"/>
      <c r="K167" s="44"/>
      <c r="L167" s="44"/>
    </row>
    <row r="168" spans="1:12" s="47" customFormat="1">
      <c r="A168" s="58"/>
      <c r="F168" s="44"/>
      <c r="G168" s="44"/>
      <c r="H168" s="44"/>
      <c r="I168" s="44"/>
      <c r="J168" s="44"/>
      <c r="K168" s="44"/>
      <c r="L168" s="44"/>
    </row>
    <row r="169" spans="1:12" s="47" customFormat="1">
      <c r="A169" s="58"/>
      <c r="F169" s="44"/>
      <c r="G169" s="44"/>
      <c r="H169" s="44"/>
      <c r="I169" s="44"/>
      <c r="J169" s="44"/>
      <c r="K169" s="44"/>
      <c r="L169" s="44"/>
    </row>
    <row r="170" spans="1:12" s="47" customFormat="1">
      <c r="A170" s="58"/>
      <c r="F170" s="44"/>
      <c r="G170" s="44"/>
      <c r="H170" s="44"/>
      <c r="I170" s="44"/>
      <c r="J170" s="44"/>
      <c r="K170" s="44"/>
      <c r="L170" s="44"/>
    </row>
    <row r="171" spans="1:12" s="47" customFormat="1">
      <c r="A171" s="58"/>
      <c r="F171" s="44"/>
      <c r="G171" s="44"/>
      <c r="H171" s="44"/>
      <c r="I171" s="44"/>
      <c r="J171" s="44"/>
      <c r="K171" s="44"/>
      <c r="L171" s="44"/>
    </row>
    <row r="172" spans="1:12" s="47" customFormat="1">
      <c r="A172" s="58"/>
      <c r="F172" s="44"/>
      <c r="G172" s="44"/>
      <c r="H172" s="44"/>
      <c r="I172" s="44"/>
      <c r="J172" s="44"/>
      <c r="K172" s="44"/>
      <c r="L172" s="44"/>
    </row>
    <row r="173" spans="1:12" s="47" customFormat="1">
      <c r="A173" s="58"/>
      <c r="F173" s="44"/>
      <c r="G173" s="44"/>
      <c r="H173" s="44"/>
      <c r="I173" s="44"/>
      <c r="J173" s="44"/>
      <c r="K173" s="44"/>
      <c r="L173" s="44"/>
    </row>
    <row r="174" spans="1:12" s="47" customFormat="1">
      <c r="A174" s="58"/>
      <c r="F174" s="44"/>
      <c r="G174" s="44"/>
      <c r="H174" s="44"/>
      <c r="I174" s="44"/>
      <c r="J174" s="44"/>
      <c r="K174" s="44"/>
      <c r="L174" s="44"/>
    </row>
    <row r="175" spans="1:12" s="47" customFormat="1">
      <c r="A175" s="58"/>
      <c r="F175" s="44"/>
      <c r="G175" s="44"/>
      <c r="H175" s="44"/>
      <c r="I175" s="44"/>
      <c r="J175" s="44"/>
      <c r="K175" s="44"/>
      <c r="L175" s="44"/>
    </row>
    <row r="176" spans="1:12" s="47" customFormat="1">
      <c r="A176" s="58"/>
      <c r="F176" s="44"/>
      <c r="G176" s="44"/>
      <c r="H176" s="44"/>
      <c r="I176" s="44"/>
      <c r="J176" s="44"/>
      <c r="K176" s="44"/>
      <c r="L176" s="44"/>
    </row>
    <row r="177" spans="1:12" s="47" customFormat="1">
      <c r="A177" s="58"/>
      <c r="F177" s="44"/>
      <c r="G177" s="44"/>
      <c r="H177" s="44"/>
      <c r="I177" s="44"/>
      <c r="J177" s="44"/>
      <c r="K177" s="44"/>
      <c r="L177" s="44"/>
    </row>
    <row r="178" spans="1:12" s="47" customFormat="1">
      <c r="A178" s="58"/>
      <c r="F178" s="44"/>
      <c r="G178" s="44"/>
      <c r="H178" s="44"/>
      <c r="I178" s="44"/>
      <c r="J178" s="44"/>
      <c r="K178" s="44"/>
      <c r="L178" s="44"/>
    </row>
    <row r="179" spans="1:12" s="47" customFormat="1">
      <c r="A179" s="58"/>
      <c r="F179" s="44"/>
      <c r="G179" s="44"/>
      <c r="H179" s="44"/>
      <c r="I179" s="44"/>
      <c r="J179" s="44"/>
      <c r="K179" s="44"/>
      <c r="L179" s="44"/>
    </row>
    <row r="180" spans="1:12" s="47" customFormat="1">
      <c r="A180" s="58"/>
      <c r="F180" s="44"/>
      <c r="G180" s="44"/>
      <c r="H180" s="44"/>
      <c r="I180" s="44"/>
      <c r="J180" s="44"/>
      <c r="K180" s="44"/>
      <c r="L180" s="44"/>
    </row>
    <row r="181" spans="1:12" s="47" customFormat="1">
      <c r="A181" s="58"/>
      <c r="F181" s="44"/>
      <c r="G181" s="44"/>
      <c r="H181" s="44"/>
      <c r="I181" s="44"/>
      <c r="J181" s="44"/>
      <c r="K181" s="44"/>
      <c r="L181" s="44"/>
    </row>
    <row r="182" spans="1:12" s="47" customFormat="1">
      <c r="A182" s="58"/>
      <c r="F182" s="44"/>
      <c r="G182" s="44"/>
      <c r="H182" s="44"/>
      <c r="I182" s="44"/>
      <c r="J182" s="44"/>
      <c r="K182" s="44"/>
      <c r="L182" s="44"/>
    </row>
    <row r="183" spans="1:12" s="47" customFormat="1">
      <c r="A183" s="58"/>
      <c r="F183" s="44"/>
      <c r="G183" s="44"/>
      <c r="H183" s="44"/>
      <c r="I183" s="44"/>
      <c r="J183" s="44"/>
      <c r="K183" s="44"/>
      <c r="L183" s="44"/>
    </row>
    <row r="184" spans="1:12" s="47" customFormat="1">
      <c r="A184" s="58"/>
      <c r="F184" s="44"/>
      <c r="G184" s="44"/>
      <c r="H184" s="44"/>
      <c r="I184" s="44"/>
      <c r="J184" s="44"/>
      <c r="K184" s="44"/>
      <c r="L184" s="44"/>
    </row>
    <row r="185" spans="1:12" s="47" customFormat="1">
      <c r="A185" s="58"/>
      <c r="F185" s="44"/>
      <c r="G185" s="44"/>
      <c r="H185" s="44"/>
      <c r="I185" s="44"/>
      <c r="J185" s="44"/>
      <c r="K185" s="44"/>
      <c r="L185" s="44"/>
    </row>
    <row r="186" spans="1:12" s="47" customFormat="1">
      <c r="A186" s="58"/>
      <c r="F186" s="44"/>
      <c r="G186" s="44"/>
      <c r="H186" s="44"/>
      <c r="I186" s="44"/>
      <c r="J186" s="44"/>
      <c r="K186" s="44"/>
      <c r="L186" s="44"/>
    </row>
    <row r="187" spans="1:12" s="47" customFormat="1">
      <c r="A187" s="58"/>
      <c r="F187" s="44"/>
      <c r="G187" s="44"/>
      <c r="H187" s="44"/>
      <c r="I187" s="44"/>
      <c r="J187" s="44"/>
      <c r="K187" s="44"/>
      <c r="L187" s="44"/>
    </row>
    <row r="188" spans="1:12" s="47" customFormat="1">
      <c r="A188" s="58"/>
      <c r="F188" s="44"/>
      <c r="G188" s="44"/>
      <c r="H188" s="44"/>
      <c r="I188" s="44"/>
      <c r="J188" s="44"/>
      <c r="K188" s="44"/>
      <c r="L188" s="44"/>
    </row>
    <row r="189" spans="1:12" s="47" customFormat="1">
      <c r="A189" s="58"/>
      <c r="F189" s="44"/>
      <c r="G189" s="44"/>
      <c r="H189" s="44"/>
      <c r="I189" s="44"/>
      <c r="J189" s="44"/>
      <c r="K189" s="44"/>
      <c r="L189" s="44"/>
    </row>
    <row r="190" spans="1:12" s="47" customFormat="1">
      <c r="A190" s="58"/>
      <c r="F190" s="44"/>
      <c r="G190" s="44"/>
      <c r="H190" s="44"/>
      <c r="I190" s="44"/>
      <c r="J190" s="44"/>
      <c r="K190" s="44"/>
      <c r="L190" s="44"/>
    </row>
    <row r="191" spans="1:12" s="47" customFormat="1">
      <c r="A191" s="58"/>
      <c r="F191" s="44"/>
      <c r="G191" s="44"/>
      <c r="H191" s="44"/>
      <c r="I191" s="44"/>
      <c r="J191" s="44"/>
      <c r="K191" s="44"/>
      <c r="L191" s="44"/>
    </row>
    <row r="192" spans="1:12" s="47" customFormat="1">
      <c r="A192" s="58"/>
      <c r="F192" s="44"/>
      <c r="G192" s="44"/>
      <c r="H192" s="44"/>
      <c r="I192" s="44"/>
      <c r="J192" s="44"/>
      <c r="K192" s="44"/>
      <c r="L192" s="44"/>
    </row>
    <row r="193" spans="1:12" s="47" customFormat="1">
      <c r="A193" s="58"/>
      <c r="F193" s="44"/>
      <c r="G193" s="44"/>
      <c r="H193" s="44"/>
      <c r="I193" s="44"/>
      <c r="J193" s="44"/>
      <c r="K193" s="44"/>
      <c r="L193" s="44"/>
    </row>
    <row r="194" spans="1:12" s="47" customFormat="1">
      <c r="A194" s="58"/>
      <c r="F194" s="44"/>
      <c r="G194" s="44"/>
      <c r="H194" s="44"/>
      <c r="I194" s="44"/>
      <c r="J194" s="44"/>
      <c r="K194" s="44"/>
      <c r="L194" s="44"/>
    </row>
    <row r="195" spans="1:12" s="47" customFormat="1">
      <c r="A195" s="58"/>
      <c r="F195" s="44"/>
      <c r="G195" s="44"/>
      <c r="H195" s="44"/>
      <c r="I195" s="44"/>
      <c r="J195" s="44"/>
      <c r="K195" s="44"/>
      <c r="L195" s="44"/>
    </row>
    <row r="196" spans="1:12" s="47" customFormat="1">
      <c r="A196" s="58"/>
      <c r="F196" s="44"/>
      <c r="G196" s="44"/>
      <c r="H196" s="44"/>
      <c r="I196" s="44"/>
      <c r="J196" s="44"/>
      <c r="K196" s="44"/>
      <c r="L196" s="44"/>
    </row>
    <row r="197" spans="1:12" s="47" customFormat="1">
      <c r="A197" s="58"/>
      <c r="F197" s="44"/>
      <c r="G197" s="44"/>
      <c r="H197" s="44"/>
      <c r="I197" s="44"/>
      <c r="J197" s="44"/>
      <c r="K197" s="44"/>
      <c r="L197" s="44"/>
    </row>
    <row r="198" spans="1:12" s="47" customFormat="1">
      <c r="A198" s="58"/>
      <c r="F198" s="44"/>
      <c r="G198" s="44"/>
      <c r="H198" s="44"/>
      <c r="I198" s="44"/>
      <c r="J198" s="44"/>
      <c r="K198" s="44"/>
      <c r="L198" s="44"/>
    </row>
  </sheetData>
  <mergeCells count="15">
    <mergeCell ref="A1:J1"/>
    <mergeCell ref="A3:A4"/>
    <mergeCell ref="B3:B4"/>
    <mergeCell ref="C3:C4"/>
    <mergeCell ref="D3:D4"/>
    <mergeCell ref="E3:E4"/>
    <mergeCell ref="F3:F4"/>
    <mergeCell ref="G3:J3"/>
    <mergeCell ref="C48:F48"/>
    <mergeCell ref="H48:J48"/>
    <mergeCell ref="A6:J6"/>
    <mergeCell ref="A19:J19"/>
    <mergeCell ref="C47:F47"/>
    <mergeCell ref="H47:J47"/>
    <mergeCell ref="H45:J45"/>
  </mergeCells>
  <phoneticPr fontId="3" type="noConversion"/>
  <pageMargins left="1.1811023622047245" right="0.39370078740157483" top="0.78740157480314965" bottom="0.78740157480314965" header="0.39370078740157483" footer="0.11811023622047245"/>
  <pageSetup paperSize="9" scale="56" fitToHeight="2" orientation="landscape" verticalDpi="300" r:id="rId1"/>
  <headerFooter alignWithMargins="0">
    <oddHeader>&amp;C&amp;"Times New Roman,обычный"&amp;14 
7&amp;R
&amp;"Times New Roman,обычный"&amp;14Продовження додатка 1
Таблиця 2</oddHeader>
  </headerFooter>
  <rowBreaks count="1" manualBreakCount="1">
    <brk id="29" max="9" man="1"/>
  </rowBreaks>
  <ignoredErrors>
    <ignoredError sqref="F8 F20 F30 F35 F40 F4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J105"/>
  <sheetViews>
    <sheetView zoomScale="75" zoomScaleNormal="75" zoomScaleSheetLayoutView="50" workbookViewId="0">
      <selection activeCell="M20" sqref="M20"/>
    </sheetView>
  </sheetViews>
  <sheetFormatPr defaultRowHeight="18.75"/>
  <cols>
    <col min="1" max="1" width="93.28515625" style="2" customWidth="1"/>
    <col min="2" max="2" width="15" style="2" customWidth="1"/>
    <col min="3" max="3" width="13.42578125" style="2" customWidth="1"/>
    <col min="4" max="4" width="14.28515625" style="2" customWidth="1"/>
    <col min="5" max="5" width="16" style="2" customWidth="1"/>
    <col min="6" max="6" width="12.42578125" style="2" customWidth="1"/>
    <col min="7" max="10" width="16" style="2" customWidth="1"/>
    <col min="11" max="16384" width="9.140625" style="2"/>
  </cols>
  <sheetData>
    <row r="1" spans="1:10">
      <c r="A1" s="218" t="s">
        <v>310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0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48" customHeight="1">
      <c r="A3" s="237" t="s">
        <v>169</v>
      </c>
      <c r="B3" s="225" t="s">
        <v>0</v>
      </c>
      <c r="C3" s="225" t="s">
        <v>382</v>
      </c>
      <c r="D3" s="225" t="s">
        <v>383</v>
      </c>
      <c r="E3" s="225" t="s">
        <v>381</v>
      </c>
      <c r="F3" s="202" t="s">
        <v>384</v>
      </c>
      <c r="G3" s="202" t="s">
        <v>127</v>
      </c>
      <c r="H3" s="202"/>
      <c r="I3" s="202"/>
      <c r="J3" s="202"/>
    </row>
    <row r="4" spans="1:10" ht="26.25" customHeight="1">
      <c r="A4" s="238"/>
      <c r="B4" s="225"/>
      <c r="C4" s="225"/>
      <c r="D4" s="225"/>
      <c r="E4" s="225"/>
      <c r="F4" s="202"/>
      <c r="G4" s="15" t="s">
        <v>128</v>
      </c>
      <c r="H4" s="15" t="s">
        <v>129</v>
      </c>
      <c r="I4" s="15" t="s">
        <v>130</v>
      </c>
      <c r="J4" s="15" t="s">
        <v>56</v>
      </c>
    </row>
    <row r="5" spans="1:10" ht="18" customHeight="1">
      <c r="A5" s="7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</row>
    <row r="6" spans="1:10" s="56" customFormat="1" ht="20.100000000000001" customHeight="1">
      <c r="A6" s="128" t="s">
        <v>386</v>
      </c>
      <c r="B6" s="109"/>
      <c r="C6" s="110"/>
      <c r="D6" s="110"/>
      <c r="E6" s="110"/>
      <c r="F6" s="110"/>
      <c r="G6" s="110"/>
      <c r="H6" s="110"/>
      <c r="I6" s="110"/>
      <c r="J6" s="111"/>
    </row>
    <row r="7" spans="1:10" ht="20.100000000000001" customHeight="1">
      <c r="A7" s="119" t="s">
        <v>266</v>
      </c>
      <c r="B7" s="112">
        <v>3000</v>
      </c>
      <c r="C7" s="122">
        <f>SUM(C8:C13,C17)</f>
        <v>89881</v>
      </c>
      <c r="D7" s="122">
        <f>SUM(D8:D13,D17)</f>
        <v>88762</v>
      </c>
      <c r="E7" s="122">
        <f>SUM(E8:E13,E17)</f>
        <v>101816.4</v>
      </c>
      <c r="F7" s="126">
        <f t="shared" ref="F7:F18" si="0">SUM(G7:J7)</f>
        <v>124417.60000000001</v>
      </c>
      <c r="G7" s="122">
        <f>SUM(G8:G13,G17)</f>
        <v>31902.799999999999</v>
      </c>
      <c r="H7" s="122">
        <f>SUM(H8:H13,H17)</f>
        <v>27280</v>
      </c>
      <c r="I7" s="122">
        <f>SUM(I8:I13,I17)</f>
        <v>29031.8</v>
      </c>
      <c r="J7" s="122">
        <f>SUM(J8:J13,J17)</f>
        <v>36203</v>
      </c>
    </row>
    <row r="8" spans="1:10" ht="20.100000000000001" customHeight="1">
      <c r="A8" s="8" t="s">
        <v>355</v>
      </c>
      <c r="B8" s="9">
        <v>3010</v>
      </c>
      <c r="C8" s="89">
        <v>40182</v>
      </c>
      <c r="D8" s="89">
        <v>54734</v>
      </c>
      <c r="E8" s="89">
        <v>75235</v>
      </c>
      <c r="F8" s="94">
        <f t="shared" si="0"/>
        <v>95891</v>
      </c>
      <c r="G8" s="89">
        <f>'I. Фін результат'!G7</f>
        <v>24771</v>
      </c>
      <c r="H8" s="89">
        <f>'I. Фін результат'!H7</f>
        <v>20249</v>
      </c>
      <c r="I8" s="89">
        <f>'I. Фін результат'!I7</f>
        <v>22000</v>
      </c>
      <c r="J8" s="89">
        <f>'I. Фін результат'!J7</f>
        <v>28871</v>
      </c>
    </row>
    <row r="9" spans="1:10" ht="20.100000000000001" customHeight="1">
      <c r="A9" s="8" t="s">
        <v>267</v>
      </c>
      <c r="B9" s="9">
        <v>3020</v>
      </c>
      <c r="C9" s="89">
        <v>0</v>
      </c>
      <c r="D9" s="89">
        <v>0</v>
      </c>
      <c r="E9" s="89">
        <v>0</v>
      </c>
      <c r="F9" s="94">
        <f t="shared" si="0"/>
        <v>0</v>
      </c>
      <c r="G9" s="89">
        <v>0</v>
      </c>
      <c r="H9" s="89">
        <v>0</v>
      </c>
      <c r="I9" s="89">
        <v>0</v>
      </c>
      <c r="J9" s="89">
        <v>0</v>
      </c>
    </row>
    <row r="10" spans="1:10" ht="20.100000000000001" customHeight="1">
      <c r="A10" s="8" t="s">
        <v>268</v>
      </c>
      <c r="B10" s="9">
        <v>3021</v>
      </c>
      <c r="C10" s="89">
        <v>0</v>
      </c>
      <c r="D10" s="89">
        <v>0</v>
      </c>
      <c r="E10" s="89">
        <v>0</v>
      </c>
      <c r="F10" s="94">
        <f t="shared" si="0"/>
        <v>0</v>
      </c>
      <c r="G10" s="89">
        <v>0</v>
      </c>
      <c r="H10" s="89">
        <v>0</v>
      </c>
      <c r="I10" s="89">
        <v>0</v>
      </c>
      <c r="J10" s="89">
        <v>0</v>
      </c>
    </row>
    <row r="11" spans="1:10" ht="20.100000000000001" customHeight="1">
      <c r="A11" s="8" t="s">
        <v>356</v>
      </c>
      <c r="B11" s="9">
        <v>3030</v>
      </c>
      <c r="C11" s="89">
        <v>22302</v>
      </c>
      <c r="D11" s="89">
        <v>25421</v>
      </c>
      <c r="E11" s="89">
        <v>22302</v>
      </c>
      <c r="F11" s="94">
        <f t="shared" si="0"/>
        <v>24246.6</v>
      </c>
      <c r="G11" s="89">
        <v>6061.8</v>
      </c>
      <c r="H11" s="89">
        <v>6061</v>
      </c>
      <c r="I11" s="89">
        <v>6061.8</v>
      </c>
      <c r="J11" s="89">
        <v>6062</v>
      </c>
    </row>
    <row r="12" spans="1:10">
      <c r="A12" s="8" t="s">
        <v>269</v>
      </c>
      <c r="B12" s="9">
        <v>3040</v>
      </c>
      <c r="C12" s="89">
        <v>1395</v>
      </c>
      <c r="D12" s="89">
        <v>279</v>
      </c>
      <c r="E12" s="89">
        <v>1395</v>
      </c>
      <c r="F12" s="94">
        <f t="shared" si="0"/>
        <v>1396</v>
      </c>
      <c r="G12" s="89">
        <v>349</v>
      </c>
      <c r="H12" s="89">
        <v>249</v>
      </c>
      <c r="I12" s="89">
        <v>249</v>
      </c>
      <c r="J12" s="89">
        <v>549</v>
      </c>
    </row>
    <row r="13" spans="1:10">
      <c r="A13" s="8" t="s">
        <v>78</v>
      </c>
      <c r="B13" s="9">
        <v>3050</v>
      </c>
      <c r="C13" s="94">
        <f>SUM(C14:C16)</f>
        <v>0</v>
      </c>
      <c r="D13" s="94">
        <f>SUM(D14:D16)</f>
        <v>0</v>
      </c>
      <c r="E13" s="94">
        <f>SUM(E14:E16)</f>
        <v>0</v>
      </c>
      <c r="F13" s="94">
        <f t="shared" si="0"/>
        <v>0</v>
      </c>
      <c r="G13" s="94">
        <f>SUM(G14:G16)</f>
        <v>0</v>
      </c>
      <c r="H13" s="94">
        <f>SUM(H14:H16)</f>
        <v>0</v>
      </c>
      <c r="I13" s="94">
        <f>SUM(I14:I16)</f>
        <v>0</v>
      </c>
      <c r="J13" s="94">
        <f>SUM(J14:J16)</f>
        <v>0</v>
      </c>
    </row>
    <row r="14" spans="1:10" ht="20.100000000000001" customHeight="1">
      <c r="A14" s="8" t="s">
        <v>76</v>
      </c>
      <c r="B14" s="6">
        <v>3051</v>
      </c>
      <c r="C14" s="89">
        <v>0</v>
      </c>
      <c r="D14" s="89">
        <v>0</v>
      </c>
      <c r="E14" s="89">
        <v>0</v>
      </c>
      <c r="F14" s="94">
        <f t="shared" si="0"/>
        <v>0</v>
      </c>
      <c r="G14" s="89">
        <v>0</v>
      </c>
      <c r="H14" s="89">
        <v>0</v>
      </c>
      <c r="I14" s="89">
        <v>0</v>
      </c>
      <c r="J14" s="89">
        <v>0</v>
      </c>
    </row>
    <row r="15" spans="1:10" ht="20.100000000000001" customHeight="1">
      <c r="A15" s="8" t="s">
        <v>79</v>
      </c>
      <c r="B15" s="6">
        <v>3052</v>
      </c>
      <c r="C15" s="89">
        <v>0</v>
      </c>
      <c r="D15" s="89">
        <v>0</v>
      </c>
      <c r="E15" s="89">
        <v>0</v>
      </c>
      <c r="F15" s="94">
        <f t="shared" si="0"/>
        <v>0</v>
      </c>
      <c r="G15" s="89">
        <v>0</v>
      </c>
      <c r="H15" s="89">
        <v>0</v>
      </c>
      <c r="I15" s="89">
        <v>0</v>
      </c>
      <c r="J15" s="89">
        <v>0</v>
      </c>
    </row>
    <row r="16" spans="1:10" ht="20.100000000000001" customHeight="1">
      <c r="A16" s="8" t="s">
        <v>97</v>
      </c>
      <c r="B16" s="6">
        <v>3053</v>
      </c>
      <c r="C16" s="89">
        <v>0</v>
      </c>
      <c r="D16" s="89">
        <v>0</v>
      </c>
      <c r="E16" s="89">
        <v>0</v>
      </c>
      <c r="F16" s="94">
        <f t="shared" si="0"/>
        <v>0</v>
      </c>
      <c r="G16" s="89">
        <v>0</v>
      </c>
      <c r="H16" s="89">
        <v>0</v>
      </c>
      <c r="I16" s="89">
        <v>0</v>
      </c>
      <c r="J16" s="89">
        <v>0</v>
      </c>
    </row>
    <row r="17" spans="1:10" ht="20.100000000000001" customHeight="1">
      <c r="A17" s="8" t="s">
        <v>357</v>
      </c>
      <c r="B17" s="9">
        <v>3060</v>
      </c>
      <c r="C17" s="89">
        <v>26002</v>
      </c>
      <c r="D17" s="89">
        <v>8328</v>
      </c>
      <c r="E17" s="89">
        <f>'I. Фін результат'!F52-'ІІІ. Рух грош. коштів'!E11</f>
        <v>2884.4000000000015</v>
      </c>
      <c r="F17" s="94">
        <f t="shared" si="0"/>
        <v>2884</v>
      </c>
      <c r="G17" s="89">
        <v>721</v>
      </c>
      <c r="H17" s="89">
        <v>721</v>
      </c>
      <c r="I17" s="89">
        <v>721</v>
      </c>
      <c r="J17" s="89">
        <v>721</v>
      </c>
    </row>
    <row r="18" spans="1:10" ht="20.100000000000001" customHeight="1">
      <c r="A18" s="10" t="s">
        <v>270</v>
      </c>
      <c r="B18" s="11">
        <v>3100</v>
      </c>
      <c r="C18" s="122">
        <f>SUM(C19:C21,C25,C35,C36)</f>
        <v>-103108</v>
      </c>
      <c r="D18" s="122">
        <f>SUM(D19:D21,D25,D35,D36)</f>
        <v>-91992</v>
      </c>
      <c r="E18" s="122">
        <f>SUM(E19:E21,E25,E35,E36)</f>
        <v>-127256</v>
      </c>
      <c r="F18" s="126">
        <f t="shared" si="0"/>
        <v>-163854</v>
      </c>
      <c r="G18" s="122">
        <f>SUM(G19:G21,G25,G35,G36)</f>
        <v>-42533</v>
      </c>
      <c r="H18" s="122">
        <f>SUM(H19:H21,H25,H35,H36)</f>
        <v>-34871</v>
      </c>
      <c r="I18" s="122">
        <f>SUM(I19:I21,I25,I35,I36)</f>
        <v>-39667</v>
      </c>
      <c r="J18" s="122">
        <f>SUM(J19:J21,J25,J35,J36)</f>
        <v>-46783</v>
      </c>
    </row>
    <row r="19" spans="1:10" ht="20.100000000000001" customHeight="1">
      <c r="A19" s="8" t="s">
        <v>271</v>
      </c>
      <c r="B19" s="9">
        <v>3110</v>
      </c>
      <c r="C19" s="89">
        <v>-39862</v>
      </c>
      <c r="D19" s="89">
        <v>-28240</v>
      </c>
      <c r="E19" s="89">
        <v>-74483</v>
      </c>
      <c r="F19" s="94">
        <f>SUM(G19:J19)</f>
        <v>-94931</v>
      </c>
      <c r="G19" s="89">
        <v>-24523</v>
      </c>
      <c r="H19" s="89">
        <v>-20046</v>
      </c>
      <c r="I19" s="89">
        <v>-21780</v>
      </c>
      <c r="J19" s="89">
        <v>-28582</v>
      </c>
    </row>
    <row r="20" spans="1:10" ht="20.100000000000001" customHeight="1">
      <c r="A20" s="8" t="s">
        <v>272</v>
      </c>
      <c r="B20" s="9">
        <v>3120</v>
      </c>
      <c r="C20" s="89">
        <v>-17885</v>
      </c>
      <c r="D20" s="89">
        <v>-24955</v>
      </c>
      <c r="E20" s="89">
        <v>-23273</v>
      </c>
      <c r="F20" s="94">
        <f>SUM(G20:J20)</f>
        <v>-27668</v>
      </c>
      <c r="G20" s="89">
        <v>-6917</v>
      </c>
      <c r="H20" s="89">
        <v>-6917</v>
      </c>
      <c r="I20" s="89">
        <v>-6917</v>
      </c>
      <c r="J20" s="89">
        <v>-6917</v>
      </c>
    </row>
    <row r="21" spans="1:10" ht="20.100000000000001" customHeight="1">
      <c r="A21" s="8" t="s">
        <v>77</v>
      </c>
      <c r="B21" s="9">
        <v>3130</v>
      </c>
      <c r="C21" s="94">
        <f>SUM(C22:C24)</f>
        <v>0</v>
      </c>
      <c r="D21" s="94">
        <f>SUM(D22:D24)</f>
        <v>-600</v>
      </c>
      <c r="E21" s="94">
        <f>SUM(E22:E24)</f>
        <v>0</v>
      </c>
      <c r="F21" s="94">
        <f>SUM(G21:J21)</f>
        <v>0</v>
      </c>
      <c r="G21" s="94">
        <f>SUM(G22:G24)</f>
        <v>0</v>
      </c>
      <c r="H21" s="94">
        <f>SUM(H22:H24)</f>
        <v>0</v>
      </c>
      <c r="I21" s="94">
        <f>SUM(I22:I24)</f>
        <v>0</v>
      </c>
      <c r="J21" s="94">
        <f>SUM(J22:J24)</f>
        <v>0</v>
      </c>
    </row>
    <row r="22" spans="1:10" ht="20.100000000000001" customHeight="1">
      <c r="A22" s="8" t="s">
        <v>76</v>
      </c>
      <c r="B22" s="6">
        <v>3131</v>
      </c>
      <c r="C22" s="89">
        <v>0</v>
      </c>
      <c r="D22" s="89">
        <v>-600</v>
      </c>
      <c r="E22" s="89">
        <v>0</v>
      </c>
      <c r="F22" s="94">
        <f t="shared" ref="F22:F39" si="1">SUM(G22:J22)</f>
        <v>0</v>
      </c>
      <c r="G22" s="89">
        <v>0</v>
      </c>
      <c r="H22" s="89">
        <v>0</v>
      </c>
      <c r="I22" s="89">
        <v>0</v>
      </c>
      <c r="J22" s="89">
        <v>0</v>
      </c>
    </row>
    <row r="23" spans="1:10" ht="20.100000000000001" customHeight="1">
      <c r="A23" s="8" t="s">
        <v>79</v>
      </c>
      <c r="B23" s="6">
        <v>3132</v>
      </c>
      <c r="C23" s="89">
        <v>0</v>
      </c>
      <c r="D23" s="89">
        <v>0</v>
      </c>
      <c r="E23" s="89">
        <v>0</v>
      </c>
      <c r="F23" s="94">
        <f t="shared" si="1"/>
        <v>0</v>
      </c>
      <c r="G23" s="89">
        <v>0</v>
      </c>
      <c r="H23" s="89">
        <v>0</v>
      </c>
      <c r="I23" s="89">
        <v>0</v>
      </c>
      <c r="J23" s="89">
        <v>0</v>
      </c>
    </row>
    <row r="24" spans="1:10" ht="20.100000000000001" customHeight="1">
      <c r="A24" s="8" t="s">
        <v>97</v>
      </c>
      <c r="B24" s="6">
        <v>3133</v>
      </c>
      <c r="C24" s="89">
        <v>0</v>
      </c>
      <c r="D24" s="89">
        <v>0</v>
      </c>
      <c r="E24" s="89">
        <v>0</v>
      </c>
      <c r="F24" s="94">
        <f t="shared" si="1"/>
        <v>0</v>
      </c>
      <c r="G24" s="89">
        <v>0</v>
      </c>
      <c r="H24" s="89">
        <v>0</v>
      </c>
      <c r="I24" s="89">
        <v>0</v>
      </c>
      <c r="J24" s="89">
        <v>0</v>
      </c>
    </row>
    <row r="25" spans="1:10" ht="20.100000000000001" customHeight="1">
      <c r="A25" s="8" t="s">
        <v>273</v>
      </c>
      <c r="B25" s="9">
        <v>3140</v>
      </c>
      <c r="C25" s="94">
        <f>SUM(C26:C31,C34)</f>
        <v>-33631</v>
      </c>
      <c r="D25" s="94">
        <f>SUM(D26:D31,D34)</f>
        <v>-37005</v>
      </c>
      <c r="E25" s="94">
        <f>SUM(E26:E31,E34)</f>
        <v>-28942</v>
      </c>
      <c r="F25" s="94">
        <f t="shared" si="1"/>
        <v>-40623</v>
      </c>
      <c r="G25" s="94">
        <f>SUM(G26:G31,G34)</f>
        <v>-10935</v>
      </c>
      <c r="H25" s="94">
        <f>SUM(H26:H31,H34)</f>
        <v>-7750</v>
      </c>
      <c r="I25" s="94">
        <f>SUM(I26:I31,I34)</f>
        <v>-10812</v>
      </c>
      <c r="J25" s="94">
        <f>SUM(J26:J31,J34)</f>
        <v>-11126</v>
      </c>
    </row>
    <row r="26" spans="1:10" ht="20.100000000000001" customHeight="1">
      <c r="A26" s="8" t="s">
        <v>274</v>
      </c>
      <c r="B26" s="6">
        <v>3141</v>
      </c>
      <c r="C26" s="89">
        <v>0</v>
      </c>
      <c r="D26" s="89">
        <v>-20</v>
      </c>
      <c r="E26" s="89">
        <v>-70</v>
      </c>
      <c r="F26" s="94">
        <f t="shared" si="1"/>
        <v>-174</v>
      </c>
      <c r="G26" s="89">
        <v>-42</v>
      </c>
      <c r="H26" s="89">
        <v>-19</v>
      </c>
      <c r="I26" s="89">
        <v>-50</v>
      </c>
      <c r="J26" s="89">
        <v>-63</v>
      </c>
    </row>
    <row r="27" spans="1:10" ht="20.100000000000001" customHeight="1">
      <c r="A27" s="8" t="s">
        <v>275</v>
      </c>
      <c r="B27" s="6">
        <v>3142</v>
      </c>
      <c r="C27" s="89">
        <v>-4805</v>
      </c>
      <c r="D27" s="89">
        <v>-5536</v>
      </c>
      <c r="E27" s="89">
        <v>-5536</v>
      </c>
      <c r="F27" s="94">
        <f t="shared" si="1"/>
        <v>-6800</v>
      </c>
      <c r="G27" s="89">
        <v>-1800</v>
      </c>
      <c r="H27" s="89">
        <v>-1600</v>
      </c>
      <c r="I27" s="89">
        <v>-1600</v>
      </c>
      <c r="J27" s="89">
        <v>-1800</v>
      </c>
    </row>
    <row r="28" spans="1:10" ht="20.100000000000001" customHeight="1">
      <c r="A28" s="8" t="s">
        <v>71</v>
      </c>
      <c r="B28" s="6">
        <v>3143</v>
      </c>
      <c r="C28" s="89">
        <v>0</v>
      </c>
      <c r="D28" s="89">
        <v>0</v>
      </c>
      <c r="E28" s="89">
        <v>0</v>
      </c>
      <c r="F28" s="94">
        <f t="shared" si="1"/>
        <v>0</v>
      </c>
      <c r="G28" s="89">
        <v>0</v>
      </c>
      <c r="H28" s="89">
        <v>0</v>
      </c>
      <c r="I28" s="89">
        <v>0</v>
      </c>
      <c r="J28" s="89">
        <v>0</v>
      </c>
    </row>
    <row r="29" spans="1:10" ht="20.100000000000001" customHeight="1">
      <c r="A29" s="8" t="s">
        <v>276</v>
      </c>
      <c r="B29" s="6">
        <v>3144</v>
      </c>
      <c r="C29" s="89">
        <v>0</v>
      </c>
      <c r="D29" s="89">
        <v>0</v>
      </c>
      <c r="E29" s="89">
        <v>0</v>
      </c>
      <c r="F29" s="94">
        <f t="shared" si="1"/>
        <v>0</v>
      </c>
      <c r="G29" s="89">
        <v>0</v>
      </c>
      <c r="H29" s="89">
        <v>0</v>
      </c>
      <c r="I29" s="89">
        <v>0</v>
      </c>
      <c r="J29" s="89">
        <v>0</v>
      </c>
    </row>
    <row r="30" spans="1:10" ht="20.100000000000001" customHeight="1">
      <c r="A30" s="8" t="s">
        <v>70</v>
      </c>
      <c r="B30" s="6">
        <v>3145</v>
      </c>
      <c r="C30" s="89">
        <v>-6019</v>
      </c>
      <c r="D30" s="89" t="s">
        <v>212</v>
      </c>
      <c r="E30" s="89">
        <v>-5587</v>
      </c>
      <c r="F30" s="94">
        <f t="shared" si="1"/>
        <v>-3200</v>
      </c>
      <c r="G30" s="89">
        <v>-1481</v>
      </c>
      <c r="H30" s="89">
        <v>1481</v>
      </c>
      <c r="I30" s="89">
        <v>-1550</v>
      </c>
      <c r="J30" s="89">
        <v>-1650</v>
      </c>
    </row>
    <row r="31" spans="1:10" ht="20.100000000000001" customHeight="1">
      <c r="A31" s="8" t="s">
        <v>277</v>
      </c>
      <c r="B31" s="6">
        <v>3146</v>
      </c>
      <c r="C31" s="94">
        <f>SUM(C32,C33)</f>
        <v>0</v>
      </c>
      <c r="D31" s="94">
        <f>SUM(D32,D33)</f>
        <v>0</v>
      </c>
      <c r="E31" s="94">
        <f>SUM(E32,E33)</f>
        <v>0</v>
      </c>
      <c r="F31" s="94">
        <f t="shared" si="1"/>
        <v>0</v>
      </c>
      <c r="G31" s="94">
        <f>SUM(G32,G33)</f>
        <v>0</v>
      </c>
      <c r="H31" s="94">
        <f>SUM(H32,H33)</f>
        <v>0</v>
      </c>
      <c r="I31" s="94">
        <f>SUM(I32,I33)</f>
        <v>0</v>
      </c>
      <c r="J31" s="94">
        <f>SUM(J32,J33)</f>
        <v>0</v>
      </c>
    </row>
    <row r="32" spans="1:10" ht="19.5" customHeight="1">
      <c r="A32" s="8" t="s">
        <v>278</v>
      </c>
      <c r="B32" s="6" t="s">
        <v>279</v>
      </c>
      <c r="C32" s="89">
        <v>0</v>
      </c>
      <c r="D32" s="89">
        <v>0</v>
      </c>
      <c r="E32" s="89">
        <v>0</v>
      </c>
      <c r="F32" s="94">
        <f t="shared" si="1"/>
        <v>0</v>
      </c>
      <c r="G32" s="89">
        <v>0</v>
      </c>
      <c r="H32" s="89">
        <v>0</v>
      </c>
      <c r="I32" s="89">
        <v>0</v>
      </c>
      <c r="J32" s="89">
        <v>0</v>
      </c>
    </row>
    <row r="33" spans="1:10" ht="37.5">
      <c r="A33" s="8" t="s">
        <v>280</v>
      </c>
      <c r="B33" s="6" t="s">
        <v>281</v>
      </c>
      <c r="C33" s="89">
        <v>0</v>
      </c>
      <c r="D33" s="89">
        <v>0</v>
      </c>
      <c r="E33" s="89">
        <v>0</v>
      </c>
      <c r="F33" s="94">
        <f t="shared" si="1"/>
        <v>0</v>
      </c>
      <c r="G33" s="89">
        <v>0</v>
      </c>
      <c r="H33" s="89">
        <v>0</v>
      </c>
      <c r="I33" s="89">
        <v>0</v>
      </c>
      <c r="J33" s="89">
        <v>0</v>
      </c>
    </row>
    <row r="34" spans="1:10" ht="20.100000000000001" customHeight="1">
      <c r="A34" s="8" t="s">
        <v>75</v>
      </c>
      <c r="B34" s="6">
        <v>3150</v>
      </c>
      <c r="C34" s="89">
        <v>-22807</v>
      </c>
      <c r="D34" s="89">
        <v>-31449</v>
      </c>
      <c r="E34" s="89">
        <v>-17749</v>
      </c>
      <c r="F34" s="94">
        <f t="shared" si="1"/>
        <v>-30449</v>
      </c>
      <c r="G34" s="89">
        <v>-7612</v>
      </c>
      <c r="H34" s="89">
        <v>-7612</v>
      </c>
      <c r="I34" s="89">
        <v>-7612</v>
      </c>
      <c r="J34" s="89">
        <v>-7613</v>
      </c>
    </row>
    <row r="35" spans="1:10" ht="20.100000000000001" customHeight="1">
      <c r="A35" s="8" t="s">
        <v>282</v>
      </c>
      <c r="B35" s="9">
        <v>3160</v>
      </c>
      <c r="C35" s="89">
        <v>0</v>
      </c>
      <c r="D35" s="89">
        <v>-600</v>
      </c>
      <c r="E35" s="89">
        <v>0</v>
      </c>
      <c r="F35" s="94">
        <f t="shared" si="1"/>
        <v>0</v>
      </c>
      <c r="G35" s="89">
        <v>0</v>
      </c>
      <c r="H35" s="89">
        <v>0</v>
      </c>
      <c r="I35" s="89">
        <v>0</v>
      </c>
      <c r="J35" s="89">
        <v>0</v>
      </c>
    </row>
    <row r="36" spans="1:10" ht="20.100000000000001" customHeight="1">
      <c r="A36" s="8" t="s">
        <v>353</v>
      </c>
      <c r="B36" s="9">
        <v>3170</v>
      </c>
      <c r="C36" s="89">
        <v>-11730</v>
      </c>
      <c r="D36" s="89">
        <v>-592</v>
      </c>
      <c r="E36" s="89">
        <v>-558</v>
      </c>
      <c r="F36" s="94">
        <f t="shared" si="1"/>
        <v>-632</v>
      </c>
      <c r="G36" s="89">
        <v>-158</v>
      </c>
      <c r="H36" s="89">
        <v>-158</v>
      </c>
      <c r="I36" s="89">
        <v>-158</v>
      </c>
      <c r="J36" s="89">
        <v>-158</v>
      </c>
    </row>
    <row r="37" spans="1:10" ht="20.100000000000001" customHeight="1">
      <c r="A37" s="10" t="s">
        <v>226</v>
      </c>
      <c r="B37" s="11">
        <v>3195</v>
      </c>
      <c r="C37" s="122">
        <f>SUM(C7,C18)</f>
        <v>-13227</v>
      </c>
      <c r="D37" s="122">
        <f>SUM(D7,D18)</f>
        <v>-3230</v>
      </c>
      <c r="E37" s="122">
        <f>SUM(E7,E18)</f>
        <v>-25439.600000000006</v>
      </c>
      <c r="F37" s="126">
        <f t="shared" si="1"/>
        <v>-39436.400000000001</v>
      </c>
      <c r="G37" s="122">
        <f>SUM(G7,G18)</f>
        <v>-10630.2</v>
      </c>
      <c r="H37" s="122">
        <f>SUM(H7,H18)</f>
        <v>-7591</v>
      </c>
      <c r="I37" s="122">
        <f>SUM(I7,I18)</f>
        <v>-10635.2</v>
      </c>
      <c r="J37" s="122">
        <f>SUM(J7,J18)</f>
        <v>-10580</v>
      </c>
    </row>
    <row r="38" spans="1:10" ht="20.100000000000001" customHeight="1">
      <c r="A38" s="128" t="s">
        <v>385</v>
      </c>
      <c r="B38" s="109"/>
      <c r="C38" s="110"/>
      <c r="D38" s="110"/>
      <c r="E38" s="110"/>
      <c r="F38" s="110"/>
      <c r="G38" s="110"/>
      <c r="H38" s="110"/>
      <c r="I38" s="110"/>
      <c r="J38" s="111"/>
    </row>
    <row r="39" spans="1:10" ht="20.100000000000001" customHeight="1">
      <c r="A39" s="119" t="s">
        <v>283</v>
      </c>
      <c r="B39" s="112">
        <v>3200</v>
      </c>
      <c r="C39" s="122">
        <f>SUM(C40:C43)</f>
        <v>0</v>
      </c>
      <c r="D39" s="122">
        <f>SUM(D40:D43)</f>
        <v>1562</v>
      </c>
      <c r="E39" s="122">
        <f>SUM(E40:E43)</f>
        <v>0</v>
      </c>
      <c r="F39" s="126">
        <f t="shared" si="1"/>
        <v>0</v>
      </c>
      <c r="G39" s="122">
        <f>SUM(G40:G43)</f>
        <v>0</v>
      </c>
      <c r="H39" s="122">
        <f>SUM(H40:H43)</f>
        <v>0</v>
      </c>
      <c r="I39" s="122">
        <f>SUM(I40:I43)</f>
        <v>0</v>
      </c>
      <c r="J39" s="122">
        <f>SUM(J40:J43)</f>
        <v>0</v>
      </c>
    </row>
    <row r="40" spans="1:10" ht="20.100000000000001" customHeight="1">
      <c r="A40" s="8" t="s">
        <v>284</v>
      </c>
      <c r="B40" s="6">
        <v>3210</v>
      </c>
      <c r="C40" s="89">
        <v>0</v>
      </c>
      <c r="D40" s="89"/>
      <c r="E40" s="89"/>
      <c r="F40" s="94">
        <f>SUM(G40:J40)</f>
        <v>0</v>
      </c>
      <c r="G40" s="89"/>
      <c r="H40" s="89"/>
      <c r="I40" s="89"/>
      <c r="J40" s="89"/>
    </row>
    <row r="41" spans="1:10" ht="20.100000000000001" customHeight="1">
      <c r="A41" s="8" t="s">
        <v>285</v>
      </c>
      <c r="B41" s="9">
        <v>3220</v>
      </c>
      <c r="C41" s="89">
        <v>0</v>
      </c>
      <c r="D41" s="89">
        <v>1562</v>
      </c>
      <c r="E41" s="89"/>
      <c r="F41" s="94">
        <f>SUM(G41:J41)</f>
        <v>0</v>
      </c>
      <c r="G41" s="89"/>
      <c r="H41" s="89"/>
      <c r="I41" s="89"/>
      <c r="J41" s="89"/>
    </row>
    <row r="42" spans="1:10" ht="20.100000000000001" customHeight="1">
      <c r="A42" s="8" t="s">
        <v>38</v>
      </c>
      <c r="B42" s="9">
        <v>3230</v>
      </c>
      <c r="C42" s="89">
        <v>0</v>
      </c>
      <c r="D42" s="89"/>
      <c r="E42" s="89"/>
      <c r="F42" s="94">
        <f>SUM(G42:J42)</f>
        <v>0</v>
      </c>
      <c r="G42" s="89"/>
      <c r="H42" s="89"/>
      <c r="I42" s="89"/>
      <c r="J42" s="89"/>
    </row>
    <row r="43" spans="1:10" ht="20.100000000000001" customHeight="1">
      <c r="A43" s="8" t="s">
        <v>357</v>
      </c>
      <c r="B43" s="9">
        <v>3240</v>
      </c>
      <c r="C43" s="89">
        <v>0</v>
      </c>
      <c r="D43" s="89"/>
      <c r="E43" s="89"/>
      <c r="F43" s="94"/>
      <c r="G43" s="89"/>
      <c r="H43" s="89"/>
      <c r="I43" s="89"/>
      <c r="J43" s="89"/>
    </row>
    <row r="44" spans="1:10" ht="20.100000000000001" customHeight="1">
      <c r="A44" s="10" t="s">
        <v>286</v>
      </c>
      <c r="B44" s="11">
        <v>3255</v>
      </c>
      <c r="C44" s="122">
        <f>SUM(C45:C49)</f>
        <v>0</v>
      </c>
      <c r="D44" s="122">
        <f>SUM(D45:D49)</f>
        <v>0</v>
      </c>
      <c r="E44" s="122">
        <f>SUM(E45:E49)</f>
        <v>0</v>
      </c>
      <c r="F44" s="126">
        <f>SUM(G44:J44)</f>
        <v>0</v>
      </c>
      <c r="G44" s="122">
        <f>SUM(G45:G49)</f>
        <v>0</v>
      </c>
      <c r="H44" s="122">
        <f>SUM(H45:H49)</f>
        <v>0</v>
      </c>
      <c r="I44" s="122">
        <f>SUM(I45:I49)</f>
        <v>0</v>
      </c>
      <c r="J44" s="122">
        <f>SUM(J45:J49)</f>
        <v>0</v>
      </c>
    </row>
    <row r="45" spans="1:10" ht="20.100000000000001" customHeight="1">
      <c r="A45" s="8" t="s">
        <v>358</v>
      </c>
      <c r="B45" s="9">
        <v>3260</v>
      </c>
      <c r="C45" s="89">
        <v>0</v>
      </c>
      <c r="D45" s="89" t="s">
        <v>212</v>
      </c>
      <c r="E45" s="89" t="s">
        <v>212</v>
      </c>
      <c r="F45" s="94">
        <f t="shared" ref="F45:F64" si="2">SUM(G45:J45)</f>
        <v>0</v>
      </c>
      <c r="G45" s="89" t="s">
        <v>212</v>
      </c>
      <c r="H45" s="89" t="s">
        <v>212</v>
      </c>
      <c r="I45" s="89" t="s">
        <v>212</v>
      </c>
      <c r="J45" s="89" t="s">
        <v>212</v>
      </c>
    </row>
    <row r="46" spans="1:10" ht="20.100000000000001" customHeight="1">
      <c r="A46" s="8" t="s">
        <v>359</v>
      </c>
      <c r="B46" s="9">
        <v>3265</v>
      </c>
      <c r="C46" s="89">
        <v>0</v>
      </c>
      <c r="D46" s="89" t="s">
        <v>212</v>
      </c>
      <c r="E46" s="89" t="s">
        <v>212</v>
      </c>
      <c r="F46" s="94">
        <f t="shared" si="2"/>
        <v>0</v>
      </c>
      <c r="G46" s="89" t="s">
        <v>212</v>
      </c>
      <c r="H46" s="89" t="s">
        <v>212</v>
      </c>
      <c r="I46" s="89" t="s">
        <v>212</v>
      </c>
      <c r="J46" s="89" t="s">
        <v>212</v>
      </c>
    </row>
    <row r="47" spans="1:10" ht="20.100000000000001" customHeight="1">
      <c r="A47" s="8" t="s">
        <v>360</v>
      </c>
      <c r="B47" s="9">
        <v>3270</v>
      </c>
      <c r="C47" s="89">
        <v>0</v>
      </c>
      <c r="D47" s="89" t="s">
        <v>212</v>
      </c>
      <c r="E47" s="89" t="s">
        <v>212</v>
      </c>
      <c r="F47" s="94">
        <f t="shared" si="2"/>
        <v>0</v>
      </c>
      <c r="G47" s="89" t="s">
        <v>212</v>
      </c>
      <c r="H47" s="89" t="s">
        <v>212</v>
      </c>
      <c r="I47" s="89" t="s">
        <v>212</v>
      </c>
      <c r="J47" s="89" t="s">
        <v>212</v>
      </c>
    </row>
    <row r="48" spans="1:10" ht="20.100000000000001" customHeight="1">
      <c r="A48" s="8" t="s">
        <v>39</v>
      </c>
      <c r="B48" s="9">
        <v>3275</v>
      </c>
      <c r="C48" s="89">
        <v>0</v>
      </c>
      <c r="D48" s="89" t="s">
        <v>212</v>
      </c>
      <c r="E48" s="89" t="s">
        <v>212</v>
      </c>
      <c r="F48" s="94">
        <f t="shared" si="2"/>
        <v>0</v>
      </c>
      <c r="G48" s="89" t="s">
        <v>212</v>
      </c>
      <c r="H48" s="89" t="s">
        <v>212</v>
      </c>
      <c r="I48" s="89" t="s">
        <v>212</v>
      </c>
      <c r="J48" s="89" t="s">
        <v>212</v>
      </c>
    </row>
    <row r="49" spans="1:10" ht="20.100000000000001" customHeight="1">
      <c r="A49" s="8" t="s">
        <v>353</v>
      </c>
      <c r="B49" s="9">
        <v>3280</v>
      </c>
      <c r="C49" s="89">
        <v>0</v>
      </c>
      <c r="D49" s="89" t="s">
        <v>212</v>
      </c>
      <c r="E49" s="89" t="s">
        <v>212</v>
      </c>
      <c r="F49" s="94">
        <f t="shared" si="2"/>
        <v>0</v>
      </c>
      <c r="G49" s="89" t="s">
        <v>212</v>
      </c>
      <c r="H49" s="89" t="s">
        <v>212</v>
      </c>
      <c r="I49" s="89" t="s">
        <v>212</v>
      </c>
      <c r="J49" s="89" t="s">
        <v>212</v>
      </c>
    </row>
    <row r="50" spans="1:10" ht="20.100000000000001" customHeight="1">
      <c r="A50" s="120" t="s">
        <v>113</v>
      </c>
      <c r="B50" s="113">
        <v>3295</v>
      </c>
      <c r="C50" s="122">
        <f>SUM(C39,C44)</f>
        <v>0</v>
      </c>
      <c r="D50" s="122">
        <f t="shared" ref="D50:I50" si="3">SUM(D39,D44)</f>
        <v>1562</v>
      </c>
      <c r="E50" s="122">
        <f t="shared" si="3"/>
        <v>0</v>
      </c>
      <c r="F50" s="126">
        <f t="shared" si="2"/>
        <v>0</v>
      </c>
      <c r="G50" s="122">
        <f t="shared" si="3"/>
        <v>0</v>
      </c>
      <c r="H50" s="122">
        <f t="shared" si="3"/>
        <v>0</v>
      </c>
      <c r="I50" s="122">
        <f t="shared" si="3"/>
        <v>0</v>
      </c>
      <c r="J50" s="122">
        <f>SUM(J39,J44)</f>
        <v>0</v>
      </c>
    </row>
    <row r="51" spans="1:10" ht="20.100000000000001" customHeight="1">
      <c r="A51" s="128" t="s">
        <v>387</v>
      </c>
      <c r="B51" s="109"/>
      <c r="C51" s="110"/>
      <c r="D51" s="110"/>
      <c r="E51" s="110"/>
      <c r="F51" s="110"/>
      <c r="G51" s="110"/>
      <c r="H51" s="110"/>
      <c r="I51" s="110"/>
      <c r="J51" s="111"/>
    </row>
    <row r="52" spans="1:10" ht="20.100000000000001" customHeight="1">
      <c r="A52" s="10" t="s">
        <v>287</v>
      </c>
      <c r="B52" s="11">
        <v>3300</v>
      </c>
      <c r="C52" s="122">
        <f>SUM(C53,C54,C58)</f>
        <v>0</v>
      </c>
      <c r="D52" s="122">
        <f>SUM(D53,D54,D58)</f>
        <v>0</v>
      </c>
      <c r="E52" s="122">
        <f>SUM(E53,E54,E58)</f>
        <v>0</v>
      </c>
      <c r="F52" s="126">
        <f t="shared" si="2"/>
        <v>0</v>
      </c>
      <c r="G52" s="122">
        <f>SUM(G53,G54,G58)</f>
        <v>0</v>
      </c>
      <c r="H52" s="122">
        <f>SUM(H53,H54,H58)</f>
        <v>0</v>
      </c>
      <c r="I52" s="122">
        <f>SUM(I53,I54,I58)</f>
        <v>0</v>
      </c>
      <c r="J52" s="122">
        <f>SUM(J53,J54,J58)</f>
        <v>0</v>
      </c>
    </row>
    <row r="53" spans="1:10" ht="20.100000000000001" customHeight="1">
      <c r="A53" s="8" t="s">
        <v>288</v>
      </c>
      <c r="B53" s="9">
        <v>3310</v>
      </c>
      <c r="C53" s="89">
        <v>0</v>
      </c>
      <c r="D53" s="89">
        <v>0</v>
      </c>
      <c r="E53" s="89">
        <v>0</v>
      </c>
      <c r="F53" s="94">
        <f t="shared" si="2"/>
        <v>0</v>
      </c>
      <c r="G53" s="89">
        <v>0</v>
      </c>
      <c r="H53" s="89">
        <v>0</v>
      </c>
      <c r="I53" s="89">
        <v>0</v>
      </c>
      <c r="J53" s="89">
        <v>0</v>
      </c>
    </row>
    <row r="54" spans="1:10" ht="20.100000000000001" customHeight="1">
      <c r="A54" s="8" t="s">
        <v>289</v>
      </c>
      <c r="B54" s="9">
        <v>3320</v>
      </c>
      <c r="C54" s="94">
        <f>SUM(C55:C57)</f>
        <v>0</v>
      </c>
      <c r="D54" s="94">
        <f>SUM(D55:D57)</f>
        <v>0</v>
      </c>
      <c r="E54" s="94">
        <f>SUM(E55:E57)</f>
        <v>0</v>
      </c>
      <c r="F54" s="94">
        <f t="shared" si="2"/>
        <v>0</v>
      </c>
      <c r="G54" s="94">
        <f>SUM(G55:G57)</f>
        <v>0</v>
      </c>
      <c r="H54" s="94">
        <f>SUM(H55:H57)</f>
        <v>0</v>
      </c>
      <c r="I54" s="94">
        <f>SUM(I55:I57)</f>
        <v>0</v>
      </c>
      <c r="J54" s="94">
        <f>SUM(J55:J57)</f>
        <v>0</v>
      </c>
    </row>
    <row r="55" spans="1:10" ht="20.100000000000001" customHeight="1">
      <c r="A55" s="8" t="s">
        <v>76</v>
      </c>
      <c r="B55" s="6">
        <v>3321</v>
      </c>
      <c r="C55" s="89">
        <v>0</v>
      </c>
      <c r="D55" s="89">
        <v>0</v>
      </c>
      <c r="E55" s="89">
        <v>0</v>
      </c>
      <c r="F55" s="94">
        <f t="shared" si="2"/>
        <v>0</v>
      </c>
      <c r="G55" s="89">
        <v>0</v>
      </c>
      <c r="H55" s="89">
        <v>0</v>
      </c>
      <c r="I55" s="89">
        <v>0</v>
      </c>
      <c r="J55" s="89">
        <v>0</v>
      </c>
    </row>
    <row r="56" spans="1:10" ht="20.100000000000001" customHeight="1">
      <c r="A56" s="8" t="s">
        <v>79</v>
      </c>
      <c r="B56" s="6">
        <v>3322</v>
      </c>
      <c r="C56" s="89">
        <v>0</v>
      </c>
      <c r="D56" s="89">
        <v>0</v>
      </c>
      <c r="E56" s="89">
        <v>0</v>
      </c>
      <c r="F56" s="94">
        <f t="shared" si="2"/>
        <v>0</v>
      </c>
      <c r="G56" s="89">
        <v>0</v>
      </c>
      <c r="H56" s="89">
        <v>0</v>
      </c>
      <c r="I56" s="89">
        <v>0</v>
      </c>
      <c r="J56" s="89">
        <v>0</v>
      </c>
    </row>
    <row r="57" spans="1:10" ht="20.100000000000001" customHeight="1">
      <c r="A57" s="8" t="s">
        <v>97</v>
      </c>
      <c r="B57" s="6">
        <v>3323</v>
      </c>
      <c r="C57" s="89">
        <v>0</v>
      </c>
      <c r="D57" s="89">
        <v>0</v>
      </c>
      <c r="E57" s="89">
        <v>0</v>
      </c>
      <c r="F57" s="94">
        <f t="shared" si="2"/>
        <v>0</v>
      </c>
      <c r="G57" s="89">
        <v>0</v>
      </c>
      <c r="H57" s="89">
        <v>0</v>
      </c>
      <c r="I57" s="89">
        <v>0</v>
      </c>
      <c r="J57" s="89">
        <v>0</v>
      </c>
    </row>
    <row r="58" spans="1:10" ht="20.100000000000001" customHeight="1">
      <c r="A58" s="8" t="s">
        <v>357</v>
      </c>
      <c r="B58" s="9">
        <v>3340</v>
      </c>
      <c r="C58" s="89">
        <v>0</v>
      </c>
      <c r="D58" s="89">
        <v>0</v>
      </c>
      <c r="E58" s="89">
        <v>0</v>
      </c>
      <c r="F58" s="94">
        <f t="shared" si="2"/>
        <v>0</v>
      </c>
      <c r="G58" s="89">
        <v>0</v>
      </c>
      <c r="H58" s="89">
        <v>0</v>
      </c>
      <c r="I58" s="89">
        <v>0</v>
      </c>
      <c r="J58" s="89">
        <v>0</v>
      </c>
    </row>
    <row r="59" spans="1:10" ht="20.100000000000001" customHeight="1">
      <c r="A59" s="10" t="s">
        <v>290</v>
      </c>
      <c r="B59" s="11">
        <v>3345</v>
      </c>
      <c r="C59" s="122">
        <f>SUM(C60,C61,C65,C66)</f>
        <v>0</v>
      </c>
      <c r="D59" s="122">
        <f>SUM(D60,D61,D65,D66)</f>
        <v>0</v>
      </c>
      <c r="E59" s="122">
        <f>SUM(E60,E61,E65,E66)</f>
        <v>0</v>
      </c>
      <c r="F59" s="126">
        <f t="shared" si="2"/>
        <v>0</v>
      </c>
      <c r="G59" s="122">
        <f>SUM(G60,G61,G65,G66)</f>
        <v>0</v>
      </c>
      <c r="H59" s="122">
        <f>SUM(H60,H61,H65,H66)</f>
        <v>0</v>
      </c>
      <c r="I59" s="122">
        <f>SUM(I60,I61,I65,I66)</f>
        <v>0</v>
      </c>
      <c r="J59" s="122">
        <f>SUM(J60,J61,J65,J66)</f>
        <v>0</v>
      </c>
    </row>
    <row r="60" spans="1:10" ht="20.100000000000001" customHeight="1">
      <c r="A60" s="8" t="s">
        <v>291</v>
      </c>
      <c r="B60" s="9">
        <v>3350</v>
      </c>
      <c r="C60" s="89">
        <v>0</v>
      </c>
      <c r="D60" s="89">
        <v>0</v>
      </c>
      <c r="E60" s="89">
        <v>0</v>
      </c>
      <c r="F60" s="94">
        <f>SUM(G60:J60)</f>
        <v>0</v>
      </c>
      <c r="G60" s="89">
        <v>0</v>
      </c>
      <c r="H60" s="89">
        <v>0</v>
      </c>
      <c r="I60" s="89">
        <v>0</v>
      </c>
      <c r="J60" s="89">
        <v>0</v>
      </c>
    </row>
    <row r="61" spans="1:10" ht="20.100000000000001" customHeight="1">
      <c r="A61" s="8" t="s">
        <v>292</v>
      </c>
      <c r="B61" s="6">
        <v>3360</v>
      </c>
      <c r="C61" s="94">
        <f>SUM(C62:C64)</f>
        <v>0</v>
      </c>
      <c r="D61" s="94">
        <f>SUM(D62:D64)</f>
        <v>0</v>
      </c>
      <c r="E61" s="94">
        <f>SUM(E62:E64)</f>
        <v>0</v>
      </c>
      <c r="F61" s="94">
        <f t="shared" si="2"/>
        <v>0</v>
      </c>
      <c r="G61" s="94">
        <f>SUM(G62:G64)</f>
        <v>0</v>
      </c>
      <c r="H61" s="94">
        <f>SUM(H62:H64)</f>
        <v>0</v>
      </c>
      <c r="I61" s="94">
        <f>SUM(I62:I64)</f>
        <v>0</v>
      </c>
      <c r="J61" s="94">
        <f>SUM(J62:J64)</f>
        <v>0</v>
      </c>
    </row>
    <row r="62" spans="1:10" ht="20.100000000000001" customHeight="1">
      <c r="A62" s="8" t="s">
        <v>76</v>
      </c>
      <c r="B62" s="6">
        <v>3361</v>
      </c>
      <c r="C62" s="89">
        <v>0</v>
      </c>
      <c r="D62" s="89">
        <v>0</v>
      </c>
      <c r="E62" s="89">
        <v>0</v>
      </c>
      <c r="F62" s="94">
        <f t="shared" si="2"/>
        <v>0</v>
      </c>
      <c r="G62" s="89">
        <v>0</v>
      </c>
      <c r="H62" s="89">
        <v>0</v>
      </c>
      <c r="I62" s="89">
        <v>0</v>
      </c>
      <c r="J62" s="89">
        <v>0</v>
      </c>
    </row>
    <row r="63" spans="1:10" ht="20.100000000000001" customHeight="1">
      <c r="A63" s="8" t="s">
        <v>79</v>
      </c>
      <c r="B63" s="6">
        <v>3362</v>
      </c>
      <c r="C63" s="89">
        <v>0</v>
      </c>
      <c r="D63" s="89">
        <v>0</v>
      </c>
      <c r="E63" s="89">
        <v>0</v>
      </c>
      <c r="F63" s="94">
        <f t="shared" si="2"/>
        <v>0</v>
      </c>
      <c r="G63" s="89">
        <v>0</v>
      </c>
      <c r="H63" s="89">
        <v>0</v>
      </c>
      <c r="I63" s="89">
        <v>0</v>
      </c>
      <c r="J63" s="89">
        <v>0</v>
      </c>
    </row>
    <row r="64" spans="1:10" ht="20.100000000000001" customHeight="1">
      <c r="A64" s="8" t="s">
        <v>97</v>
      </c>
      <c r="B64" s="6">
        <v>3363</v>
      </c>
      <c r="C64" s="89">
        <v>0</v>
      </c>
      <c r="D64" s="89">
        <v>0</v>
      </c>
      <c r="E64" s="89">
        <v>0</v>
      </c>
      <c r="F64" s="94">
        <f t="shared" si="2"/>
        <v>0</v>
      </c>
      <c r="G64" s="89">
        <v>0</v>
      </c>
      <c r="H64" s="89">
        <v>0</v>
      </c>
      <c r="I64" s="89">
        <v>0</v>
      </c>
      <c r="J64" s="89">
        <v>0</v>
      </c>
    </row>
    <row r="65" spans="1:10" ht="20.100000000000001" customHeight="1">
      <c r="A65" s="8" t="s">
        <v>293</v>
      </c>
      <c r="B65" s="6">
        <v>3370</v>
      </c>
      <c r="C65" s="89">
        <v>0</v>
      </c>
      <c r="D65" s="89">
        <v>0</v>
      </c>
      <c r="E65" s="89">
        <v>0</v>
      </c>
      <c r="F65" s="94">
        <f>SUM(G65:J65)</f>
        <v>0</v>
      </c>
      <c r="G65" s="89">
        <v>0</v>
      </c>
      <c r="H65" s="89">
        <v>0</v>
      </c>
      <c r="I65" s="89">
        <v>0</v>
      </c>
      <c r="J65" s="89">
        <v>0</v>
      </c>
    </row>
    <row r="66" spans="1:10" ht="20.100000000000001" customHeight="1">
      <c r="A66" s="8" t="s">
        <v>353</v>
      </c>
      <c r="B66" s="9">
        <v>3380</v>
      </c>
      <c r="C66" s="89">
        <v>0</v>
      </c>
      <c r="D66" s="89">
        <v>0</v>
      </c>
      <c r="E66" s="89">
        <v>0</v>
      </c>
      <c r="F66" s="94">
        <f>SUM(G66:J66)</f>
        <v>0</v>
      </c>
      <c r="G66" s="89">
        <v>0</v>
      </c>
      <c r="H66" s="89">
        <v>0</v>
      </c>
      <c r="I66" s="89">
        <v>0</v>
      </c>
      <c r="J66" s="89">
        <v>0</v>
      </c>
    </row>
    <row r="67" spans="1:10" ht="20.100000000000001" customHeight="1">
      <c r="A67" s="10" t="s">
        <v>114</v>
      </c>
      <c r="B67" s="11">
        <v>3395</v>
      </c>
      <c r="C67" s="122">
        <f>SUM(C52,C59)</f>
        <v>0</v>
      </c>
      <c r="D67" s="122">
        <f t="shared" ref="D67:J67" si="4">SUM(D52,D59)</f>
        <v>0</v>
      </c>
      <c r="E67" s="122">
        <f t="shared" si="4"/>
        <v>0</v>
      </c>
      <c r="F67" s="126">
        <f>SUM(G67:J67)</f>
        <v>0</v>
      </c>
      <c r="G67" s="122">
        <f t="shared" si="4"/>
        <v>0</v>
      </c>
      <c r="H67" s="122">
        <f t="shared" si="4"/>
        <v>0</v>
      </c>
      <c r="I67" s="122">
        <f t="shared" si="4"/>
        <v>0</v>
      </c>
      <c r="J67" s="122">
        <f t="shared" si="4"/>
        <v>0</v>
      </c>
    </row>
    <row r="68" spans="1:10" ht="20.100000000000001" customHeight="1">
      <c r="A68" s="129" t="s">
        <v>19</v>
      </c>
      <c r="B68" s="11">
        <v>3400</v>
      </c>
      <c r="C68" s="122">
        <f t="shared" ref="C68:J68" si="5">SUM(C37,C50,C67)</f>
        <v>-13227</v>
      </c>
      <c r="D68" s="122">
        <f t="shared" si="5"/>
        <v>-1668</v>
      </c>
      <c r="E68" s="122">
        <f t="shared" si="5"/>
        <v>-25439.600000000006</v>
      </c>
      <c r="F68" s="122">
        <f t="shared" si="5"/>
        <v>-39436.400000000001</v>
      </c>
      <c r="G68" s="122">
        <f t="shared" si="5"/>
        <v>-10630.2</v>
      </c>
      <c r="H68" s="122">
        <f t="shared" si="5"/>
        <v>-7591</v>
      </c>
      <c r="I68" s="122">
        <f t="shared" si="5"/>
        <v>-10635.2</v>
      </c>
      <c r="J68" s="122">
        <f t="shared" si="5"/>
        <v>-10580</v>
      </c>
    </row>
    <row r="69" spans="1:10" s="16" customFormat="1" ht="20.100000000000001" customHeight="1">
      <c r="A69" s="8" t="s">
        <v>225</v>
      </c>
      <c r="B69" s="9">
        <v>3405</v>
      </c>
      <c r="C69" s="89">
        <v>1040</v>
      </c>
      <c r="D69" s="89">
        <v>155</v>
      </c>
      <c r="E69" s="89">
        <v>180</v>
      </c>
      <c r="F69" s="89">
        <f>G69+H69+I69+J69</f>
        <v>1272</v>
      </c>
      <c r="G69" s="89">
        <v>120</v>
      </c>
      <c r="H69" s="89">
        <v>140</v>
      </c>
      <c r="I69" s="89">
        <v>56</v>
      </c>
      <c r="J69" s="89">
        <v>956</v>
      </c>
    </row>
    <row r="70" spans="1:10" s="16" customFormat="1" ht="20.100000000000001" customHeight="1">
      <c r="A70" s="72" t="s">
        <v>116</v>
      </c>
      <c r="B70" s="9">
        <v>3410</v>
      </c>
      <c r="C70" s="89"/>
      <c r="D70" s="89"/>
      <c r="E70" s="89"/>
      <c r="F70" s="94">
        <f>SUM(G70:J70)</f>
        <v>0</v>
      </c>
      <c r="G70" s="89"/>
      <c r="H70" s="89"/>
      <c r="I70" s="89"/>
      <c r="J70" s="89"/>
    </row>
    <row r="71" spans="1:10" s="16" customFormat="1" ht="20.100000000000001" customHeight="1">
      <c r="A71" s="8" t="s">
        <v>228</v>
      </c>
      <c r="B71" s="9">
        <v>3415</v>
      </c>
      <c r="C71" s="123">
        <f>SUM(C69,C68,C70)</f>
        <v>-12187</v>
      </c>
      <c r="D71" s="123">
        <v>136</v>
      </c>
      <c r="E71" s="123">
        <f t="shared" ref="E71:J71" si="6">SUM(E69,E68,E70)</f>
        <v>-25259.600000000006</v>
      </c>
      <c r="F71" s="123">
        <f t="shared" si="6"/>
        <v>-38164.400000000001</v>
      </c>
      <c r="G71" s="123">
        <f t="shared" si="6"/>
        <v>-10510.2</v>
      </c>
      <c r="H71" s="123">
        <f t="shared" si="6"/>
        <v>-7451</v>
      </c>
      <c r="I71" s="123">
        <f t="shared" si="6"/>
        <v>-10579.2</v>
      </c>
      <c r="J71" s="123">
        <f t="shared" si="6"/>
        <v>-9624</v>
      </c>
    </row>
    <row r="72" spans="1:10" s="16" customFormat="1" ht="20.100000000000001" customHeight="1">
      <c r="A72" s="2"/>
      <c r="B72" s="34"/>
      <c r="C72" s="36"/>
      <c r="D72" s="35"/>
      <c r="E72" s="35"/>
      <c r="F72" s="19"/>
      <c r="G72" s="35"/>
      <c r="H72" s="35"/>
      <c r="I72" s="35"/>
      <c r="J72" s="35"/>
    </row>
    <row r="73" spans="1:10" s="3" customFormat="1" ht="20.100000000000001" customHeight="1">
      <c r="A73" s="178" t="s">
        <v>477</v>
      </c>
      <c r="B73" s="1"/>
      <c r="C73" s="211"/>
      <c r="D73" s="212"/>
      <c r="E73" s="212"/>
      <c r="F73" s="212"/>
      <c r="G73" s="14"/>
      <c r="H73" s="213" t="s">
        <v>462</v>
      </c>
      <c r="I73" s="213"/>
      <c r="J73" s="213"/>
    </row>
    <row r="74" spans="1:10" ht="20.100000000000001" customHeight="1">
      <c r="A74" s="67"/>
      <c r="B74" s="3"/>
      <c r="C74" s="209"/>
      <c r="D74" s="209"/>
      <c r="E74" s="209"/>
      <c r="F74" s="209"/>
      <c r="G74" s="28"/>
      <c r="H74" s="210"/>
      <c r="I74" s="210"/>
      <c r="J74" s="210"/>
    </row>
    <row r="75" spans="1:10">
      <c r="A75" s="49" t="s">
        <v>463</v>
      </c>
      <c r="C75" s="4"/>
    </row>
    <row r="76" spans="1:10">
      <c r="C76" s="4"/>
    </row>
    <row r="77" spans="1:10">
      <c r="C77" s="4"/>
    </row>
    <row r="78" spans="1:10">
      <c r="C78" s="4"/>
    </row>
    <row r="79" spans="1:10">
      <c r="C79" s="4"/>
    </row>
    <row r="80" spans="1:10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</sheetData>
  <mergeCells count="12">
    <mergeCell ref="F3:F4"/>
    <mergeCell ref="G3:J3"/>
    <mergeCell ref="C74:F74"/>
    <mergeCell ref="H74:J74"/>
    <mergeCell ref="C73:F73"/>
    <mergeCell ref="H73:J73"/>
    <mergeCell ref="A1:J1"/>
    <mergeCell ref="A3:A4"/>
    <mergeCell ref="B3:B4"/>
    <mergeCell ref="C3:C4"/>
    <mergeCell ref="D3:D4"/>
    <mergeCell ref="E3:E4"/>
  </mergeCells>
  <phoneticPr fontId="3" type="noConversion"/>
  <pageMargins left="1.1811023622047245" right="0.39370078740157483" top="0.78740157480314965" bottom="0.78740157480314965" header="0.31496062992125984" footer="0.51181102362204722"/>
  <pageSetup paperSize="9" scale="54" orientation="landscape" r:id="rId1"/>
  <headerFooter alignWithMargins="0">
    <oddHeader>&amp;C&amp;"Times New Roman,обычный"&amp;14 
9&amp;R&amp;"Times New Roman,обычный"&amp;14
Продовження додатка 1
Таблиця 3</oddHeader>
  </headerFooter>
  <rowBreaks count="1" manualBreakCount="1">
    <brk id="37" max="9" man="1"/>
  </rowBreaks>
  <ignoredErrors>
    <ignoredError sqref="F59 F13 F7 F21 F31 F25 F18 F37 F39 F44 F50 F54 F61 F52 F67" formula="1"/>
    <ignoredError sqref="C1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Q181"/>
  <sheetViews>
    <sheetView zoomScale="75" zoomScaleNormal="100" zoomScaleSheetLayoutView="50" workbookViewId="0">
      <selection activeCell="S9" sqref="S9"/>
    </sheetView>
  </sheetViews>
  <sheetFormatPr defaultRowHeight="18.75"/>
  <cols>
    <col min="1" max="1" width="80.140625" style="3" customWidth="1"/>
    <col min="2" max="2" width="9.85546875" style="26" customWidth="1"/>
    <col min="3" max="3" width="14.140625" style="26" customWidth="1"/>
    <col min="4" max="4" width="14.7109375" style="26" customWidth="1"/>
    <col min="5" max="5" width="19.42578125" style="26" customWidth="1"/>
    <col min="6" max="6" width="12.140625" style="3" customWidth="1"/>
    <col min="7" max="10" width="19.42578125" style="3" customWidth="1"/>
    <col min="11" max="11" width="9.5703125" style="3" customWidth="1"/>
    <col min="12" max="12" width="9.85546875" style="3" customWidth="1"/>
    <col min="13" max="16384" width="9.140625" style="3"/>
  </cols>
  <sheetData>
    <row r="1" spans="1:17">
      <c r="A1" s="218" t="s">
        <v>145</v>
      </c>
      <c r="B1" s="218"/>
      <c r="C1" s="218"/>
      <c r="D1" s="218"/>
      <c r="E1" s="218"/>
      <c r="F1" s="218"/>
      <c r="G1" s="218"/>
      <c r="H1" s="218"/>
      <c r="I1" s="218"/>
      <c r="J1" s="218"/>
    </row>
    <row r="2" spans="1:17">
      <c r="A2" s="234"/>
      <c r="B2" s="234"/>
      <c r="C2" s="234"/>
      <c r="D2" s="234"/>
      <c r="E2" s="234"/>
      <c r="F2" s="234"/>
      <c r="G2" s="234"/>
      <c r="H2" s="234"/>
      <c r="I2" s="234"/>
      <c r="J2" s="234"/>
    </row>
    <row r="3" spans="1:17" ht="43.5" customHeight="1">
      <c r="A3" s="216" t="s">
        <v>169</v>
      </c>
      <c r="B3" s="202" t="s">
        <v>8</v>
      </c>
      <c r="C3" s="202" t="s">
        <v>378</v>
      </c>
      <c r="D3" s="202" t="s">
        <v>380</v>
      </c>
      <c r="E3" s="225" t="s">
        <v>397</v>
      </c>
      <c r="F3" s="202" t="s">
        <v>388</v>
      </c>
      <c r="G3" s="202" t="s">
        <v>127</v>
      </c>
      <c r="H3" s="202"/>
      <c r="I3" s="202"/>
      <c r="J3" s="202"/>
    </row>
    <row r="4" spans="1:17" ht="56.25" customHeight="1">
      <c r="A4" s="216"/>
      <c r="B4" s="202"/>
      <c r="C4" s="202"/>
      <c r="D4" s="202"/>
      <c r="E4" s="225"/>
      <c r="F4" s="202"/>
      <c r="G4" s="15" t="s">
        <v>128</v>
      </c>
      <c r="H4" s="15" t="s">
        <v>129</v>
      </c>
      <c r="I4" s="15" t="s">
        <v>130</v>
      </c>
      <c r="J4" s="15" t="s">
        <v>56</v>
      </c>
    </row>
    <row r="5" spans="1:17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7" s="5" customFormat="1" ht="42.75" customHeight="1">
      <c r="A6" s="10" t="s">
        <v>69</v>
      </c>
      <c r="B6" s="76">
        <v>4000</v>
      </c>
      <c r="C6" s="126">
        <f>SUM(C7:C12)</f>
        <v>231</v>
      </c>
      <c r="D6" s="126">
        <f>SUM(D7:D12)</f>
        <v>1562</v>
      </c>
      <c r="E6" s="126">
        <f>SUM(E7:E12)</f>
        <v>231</v>
      </c>
      <c r="F6" s="126">
        <f>SUM(G6:J6)</f>
        <v>462</v>
      </c>
      <c r="G6" s="126">
        <f>SUM(G7:G12)</f>
        <v>115.5</v>
      </c>
      <c r="H6" s="126">
        <f>SUM(H7:H12)</f>
        <v>115.5</v>
      </c>
      <c r="I6" s="126">
        <f>SUM(I7:I12)</f>
        <v>115.5</v>
      </c>
      <c r="J6" s="126">
        <f>SUM(J7:J12)</f>
        <v>115.5</v>
      </c>
    </row>
    <row r="7" spans="1:17" ht="20.100000000000001" customHeight="1">
      <c r="A7" s="8" t="s">
        <v>1</v>
      </c>
      <c r="B7" s="77" t="s">
        <v>151</v>
      </c>
      <c r="C7" s="89">
        <v>0</v>
      </c>
      <c r="D7" s="89">
        <v>0</v>
      </c>
      <c r="E7" s="89">
        <v>0</v>
      </c>
      <c r="F7" s="89">
        <f t="shared" ref="F7:F12" si="0">SUM(G7:J7)</f>
        <v>0</v>
      </c>
      <c r="G7" s="89">
        <v>0</v>
      </c>
      <c r="H7" s="89">
        <v>0</v>
      </c>
      <c r="I7" s="89">
        <v>0</v>
      </c>
      <c r="J7" s="89">
        <v>0</v>
      </c>
    </row>
    <row r="8" spans="1:17" ht="20.100000000000001" customHeight="1">
      <c r="A8" s="8" t="s">
        <v>2</v>
      </c>
      <c r="B8" s="76">
        <v>4020</v>
      </c>
      <c r="C8" s="89">
        <v>0</v>
      </c>
      <c r="D8" s="89">
        <v>0</v>
      </c>
      <c r="E8" s="89">
        <v>0</v>
      </c>
      <c r="F8" s="89">
        <f t="shared" si="0"/>
        <v>0</v>
      </c>
      <c r="G8" s="89">
        <v>0</v>
      </c>
      <c r="H8" s="89">
        <v>0</v>
      </c>
      <c r="I8" s="89">
        <v>0</v>
      </c>
      <c r="J8" s="89">
        <v>0</v>
      </c>
      <c r="Q8" s="22"/>
    </row>
    <row r="9" spans="1:17" ht="20.100000000000001" customHeight="1">
      <c r="A9" s="8" t="s">
        <v>18</v>
      </c>
      <c r="B9" s="77">
        <v>4030</v>
      </c>
      <c r="C9" s="89">
        <v>187</v>
      </c>
      <c r="D9" s="89">
        <v>1242</v>
      </c>
      <c r="E9" s="89">
        <v>187</v>
      </c>
      <c r="F9" s="89">
        <f t="shared" si="0"/>
        <v>374</v>
      </c>
      <c r="G9" s="89">
        <v>93.5</v>
      </c>
      <c r="H9" s="89">
        <v>93.5</v>
      </c>
      <c r="I9" s="89">
        <v>93.5</v>
      </c>
      <c r="J9" s="89">
        <v>93.5</v>
      </c>
      <c r="P9" s="22"/>
    </row>
    <row r="10" spans="1:17" ht="20.100000000000001" customHeight="1">
      <c r="A10" s="8" t="s">
        <v>3</v>
      </c>
      <c r="B10" s="76">
        <v>4040</v>
      </c>
      <c r="C10" s="89">
        <v>44</v>
      </c>
      <c r="D10" s="89">
        <v>120</v>
      </c>
      <c r="E10" s="89">
        <v>44</v>
      </c>
      <c r="F10" s="89">
        <f t="shared" si="0"/>
        <v>88</v>
      </c>
      <c r="G10" s="89">
        <v>22</v>
      </c>
      <c r="H10" s="89">
        <v>22</v>
      </c>
      <c r="I10" s="89">
        <v>22</v>
      </c>
      <c r="J10" s="89">
        <v>22</v>
      </c>
    </row>
    <row r="11" spans="1:17" ht="37.5">
      <c r="A11" s="8" t="s">
        <v>52</v>
      </c>
      <c r="B11" s="77">
        <v>4050</v>
      </c>
      <c r="C11" s="89">
        <v>0</v>
      </c>
      <c r="D11" s="89">
        <v>200</v>
      </c>
      <c r="E11" s="89">
        <v>0</v>
      </c>
      <c r="F11" s="89">
        <f t="shared" si="0"/>
        <v>0</v>
      </c>
      <c r="G11" s="89">
        <v>0</v>
      </c>
      <c r="H11" s="89">
        <v>0</v>
      </c>
      <c r="I11" s="89">
        <v>0</v>
      </c>
      <c r="J11" s="89">
        <v>0</v>
      </c>
    </row>
    <row r="12" spans="1:17">
      <c r="A12" s="8" t="s">
        <v>294</v>
      </c>
      <c r="B12" s="121">
        <v>4060</v>
      </c>
      <c r="C12" s="89">
        <v>0</v>
      </c>
      <c r="D12" s="89">
        <v>0</v>
      </c>
      <c r="E12" s="89">
        <v>0</v>
      </c>
      <c r="F12" s="89">
        <f t="shared" si="0"/>
        <v>0</v>
      </c>
      <c r="G12" s="89">
        <v>0</v>
      </c>
      <c r="H12" s="89">
        <v>0</v>
      </c>
      <c r="I12" s="89">
        <v>0</v>
      </c>
      <c r="J12" s="89">
        <v>0</v>
      </c>
    </row>
    <row r="13" spans="1:17" ht="20.100000000000001" customHeight="1">
      <c r="B13" s="3"/>
      <c r="C13" s="3"/>
      <c r="D13" s="3"/>
      <c r="E13" s="3"/>
      <c r="F13" s="68"/>
      <c r="G13" s="68"/>
      <c r="H13" s="68"/>
      <c r="I13" s="68"/>
      <c r="J13" s="68"/>
    </row>
    <row r="14" spans="1:17" ht="20.100000000000001" customHeight="1">
      <c r="A14" s="178" t="s">
        <v>477</v>
      </c>
      <c r="B14" s="1"/>
      <c r="C14" s="211"/>
      <c r="D14" s="212"/>
      <c r="E14" s="212"/>
      <c r="F14" s="212"/>
      <c r="G14" s="14"/>
      <c r="H14" s="213" t="s">
        <v>462</v>
      </c>
      <c r="I14" s="213"/>
      <c r="J14" s="213"/>
    </row>
    <row r="15" spans="1:17" s="2" customFormat="1" ht="20.100000000000001" customHeight="1">
      <c r="A15" s="26"/>
      <c r="B15" s="3"/>
      <c r="C15" s="209"/>
      <c r="D15" s="209"/>
      <c r="E15" s="209"/>
      <c r="F15" s="209"/>
      <c r="G15" s="28"/>
      <c r="H15" s="210"/>
      <c r="I15" s="210"/>
      <c r="J15" s="210"/>
    </row>
    <row r="16" spans="1:17">
      <c r="A16" s="190" t="s">
        <v>463</v>
      </c>
    </row>
    <row r="17" spans="1:1">
      <c r="A17" s="49"/>
    </row>
    <row r="18" spans="1:1">
      <c r="A18" s="49"/>
    </row>
    <row r="19" spans="1:1">
      <c r="A19" s="49"/>
    </row>
    <row r="20" spans="1:1">
      <c r="A20" s="49"/>
    </row>
    <row r="21" spans="1:1">
      <c r="A21" s="49"/>
    </row>
    <row r="22" spans="1:1">
      <c r="A22" s="49"/>
    </row>
    <row r="23" spans="1:1">
      <c r="A23" s="49"/>
    </row>
    <row r="24" spans="1:1">
      <c r="A24" s="49"/>
    </row>
    <row r="25" spans="1:1">
      <c r="A25" s="49"/>
    </row>
    <row r="26" spans="1:1">
      <c r="A26" s="49"/>
    </row>
    <row r="27" spans="1:1">
      <c r="A27" s="49"/>
    </row>
    <row r="28" spans="1:1">
      <c r="A28" s="49"/>
    </row>
    <row r="29" spans="1:1">
      <c r="A29" s="49"/>
    </row>
    <row r="30" spans="1:1">
      <c r="A30" s="49"/>
    </row>
    <row r="31" spans="1:1">
      <c r="A31" s="49"/>
    </row>
    <row r="32" spans="1:1">
      <c r="A32" s="49"/>
    </row>
    <row r="33" spans="1:1">
      <c r="A33" s="49"/>
    </row>
    <row r="34" spans="1:1">
      <c r="A34" s="49"/>
    </row>
    <row r="35" spans="1:1">
      <c r="A35" s="49"/>
    </row>
    <row r="36" spans="1:1">
      <c r="A36" s="49"/>
    </row>
    <row r="37" spans="1:1">
      <c r="A37" s="49"/>
    </row>
    <row r="38" spans="1:1">
      <c r="A38" s="49"/>
    </row>
    <row r="39" spans="1:1">
      <c r="A39" s="49"/>
    </row>
    <row r="40" spans="1:1">
      <c r="A40" s="49"/>
    </row>
    <row r="41" spans="1:1">
      <c r="A41" s="49"/>
    </row>
    <row r="42" spans="1:1">
      <c r="A42" s="49"/>
    </row>
    <row r="43" spans="1:1">
      <c r="A43" s="49"/>
    </row>
    <row r="44" spans="1:1">
      <c r="A44" s="49"/>
    </row>
    <row r="45" spans="1:1">
      <c r="A45" s="49"/>
    </row>
    <row r="46" spans="1:1">
      <c r="A46" s="49"/>
    </row>
    <row r="47" spans="1:1">
      <c r="A47" s="49"/>
    </row>
    <row r="48" spans="1:1">
      <c r="A48" s="49"/>
    </row>
    <row r="49" spans="1:1">
      <c r="A49" s="49"/>
    </row>
    <row r="50" spans="1:1">
      <c r="A50" s="49"/>
    </row>
    <row r="51" spans="1:1">
      <c r="A51" s="49"/>
    </row>
    <row r="52" spans="1:1">
      <c r="A52" s="49"/>
    </row>
    <row r="53" spans="1:1">
      <c r="A53" s="49"/>
    </row>
    <row r="54" spans="1:1">
      <c r="A54" s="49"/>
    </row>
    <row r="55" spans="1:1">
      <c r="A55" s="49"/>
    </row>
    <row r="56" spans="1:1">
      <c r="A56" s="49"/>
    </row>
    <row r="57" spans="1:1">
      <c r="A57" s="49"/>
    </row>
    <row r="58" spans="1:1">
      <c r="A58" s="49"/>
    </row>
    <row r="59" spans="1:1">
      <c r="A59" s="49"/>
    </row>
    <row r="60" spans="1:1">
      <c r="A60" s="49"/>
    </row>
    <row r="61" spans="1:1">
      <c r="A61" s="49"/>
    </row>
    <row r="62" spans="1:1">
      <c r="A62" s="49"/>
    </row>
    <row r="63" spans="1:1">
      <c r="A63" s="49"/>
    </row>
    <row r="64" spans="1:1">
      <c r="A64" s="49"/>
    </row>
    <row r="65" spans="1:1">
      <c r="A65" s="49"/>
    </row>
    <row r="66" spans="1:1">
      <c r="A66" s="49"/>
    </row>
    <row r="67" spans="1:1">
      <c r="A67" s="49"/>
    </row>
    <row r="68" spans="1:1">
      <c r="A68" s="49"/>
    </row>
    <row r="69" spans="1:1">
      <c r="A69" s="49"/>
    </row>
    <row r="70" spans="1:1">
      <c r="A70" s="49"/>
    </row>
    <row r="71" spans="1:1">
      <c r="A71" s="49"/>
    </row>
    <row r="72" spans="1:1">
      <c r="A72" s="49"/>
    </row>
    <row r="73" spans="1:1">
      <c r="A73" s="49"/>
    </row>
    <row r="74" spans="1:1">
      <c r="A74" s="49"/>
    </row>
    <row r="75" spans="1:1">
      <c r="A75" s="49"/>
    </row>
    <row r="76" spans="1:1">
      <c r="A76" s="49"/>
    </row>
    <row r="77" spans="1:1">
      <c r="A77" s="49"/>
    </row>
    <row r="78" spans="1:1">
      <c r="A78" s="49"/>
    </row>
    <row r="79" spans="1:1">
      <c r="A79" s="49"/>
    </row>
    <row r="80" spans="1:1">
      <c r="A80" s="49"/>
    </row>
    <row r="81" spans="1:1">
      <c r="A81" s="49"/>
    </row>
    <row r="82" spans="1:1">
      <c r="A82" s="49"/>
    </row>
    <row r="83" spans="1:1">
      <c r="A83" s="49"/>
    </row>
    <row r="84" spans="1:1">
      <c r="A84" s="49"/>
    </row>
    <row r="85" spans="1:1">
      <c r="A85" s="49"/>
    </row>
    <row r="86" spans="1:1">
      <c r="A86" s="49"/>
    </row>
    <row r="87" spans="1:1">
      <c r="A87" s="49"/>
    </row>
    <row r="88" spans="1:1">
      <c r="A88" s="49"/>
    </row>
    <row r="89" spans="1:1">
      <c r="A89" s="49"/>
    </row>
    <row r="90" spans="1:1">
      <c r="A90" s="49"/>
    </row>
    <row r="91" spans="1:1">
      <c r="A91" s="49"/>
    </row>
    <row r="92" spans="1:1">
      <c r="A92" s="49"/>
    </row>
    <row r="93" spans="1:1">
      <c r="A93" s="49"/>
    </row>
    <row r="94" spans="1:1">
      <c r="A94" s="49"/>
    </row>
    <row r="95" spans="1:1">
      <c r="A95" s="49"/>
    </row>
    <row r="96" spans="1:1">
      <c r="A96" s="49"/>
    </row>
    <row r="97" spans="1:1">
      <c r="A97" s="49"/>
    </row>
    <row r="98" spans="1:1">
      <c r="A98" s="49"/>
    </row>
    <row r="99" spans="1:1">
      <c r="A99" s="49"/>
    </row>
    <row r="100" spans="1:1">
      <c r="A100" s="49"/>
    </row>
    <row r="101" spans="1:1">
      <c r="A101" s="49"/>
    </row>
    <row r="102" spans="1:1">
      <c r="A102" s="49"/>
    </row>
    <row r="103" spans="1:1">
      <c r="A103" s="49"/>
    </row>
    <row r="104" spans="1:1">
      <c r="A104" s="49"/>
    </row>
    <row r="105" spans="1:1">
      <c r="A105" s="49"/>
    </row>
    <row r="106" spans="1:1">
      <c r="A106" s="49"/>
    </row>
    <row r="107" spans="1:1">
      <c r="A107" s="49"/>
    </row>
    <row r="108" spans="1:1">
      <c r="A108" s="49"/>
    </row>
    <row r="109" spans="1:1">
      <c r="A109" s="49"/>
    </row>
    <row r="110" spans="1:1">
      <c r="A110" s="49"/>
    </row>
    <row r="111" spans="1:1">
      <c r="A111" s="49"/>
    </row>
    <row r="112" spans="1:1">
      <c r="A112" s="49"/>
    </row>
    <row r="113" spans="1:1">
      <c r="A113" s="49"/>
    </row>
    <row r="114" spans="1:1">
      <c r="A114" s="49"/>
    </row>
    <row r="115" spans="1:1">
      <c r="A115" s="49"/>
    </row>
    <row r="116" spans="1:1">
      <c r="A116" s="49"/>
    </row>
    <row r="117" spans="1:1">
      <c r="A117" s="49"/>
    </row>
    <row r="118" spans="1:1">
      <c r="A118" s="49"/>
    </row>
    <row r="119" spans="1:1">
      <c r="A119" s="49"/>
    </row>
    <row r="120" spans="1:1">
      <c r="A120" s="49"/>
    </row>
    <row r="121" spans="1:1">
      <c r="A121" s="49"/>
    </row>
    <row r="122" spans="1:1">
      <c r="A122" s="49"/>
    </row>
    <row r="123" spans="1:1">
      <c r="A123" s="49"/>
    </row>
    <row r="124" spans="1:1">
      <c r="A124" s="49"/>
    </row>
    <row r="125" spans="1:1">
      <c r="A125" s="49"/>
    </row>
    <row r="126" spans="1:1">
      <c r="A126" s="49"/>
    </row>
    <row r="127" spans="1:1">
      <c r="A127" s="49"/>
    </row>
    <row r="128" spans="1:1">
      <c r="A128" s="49"/>
    </row>
    <row r="129" spans="1:1">
      <c r="A129" s="49"/>
    </row>
    <row r="130" spans="1:1">
      <c r="A130" s="49"/>
    </row>
    <row r="131" spans="1:1">
      <c r="A131" s="49"/>
    </row>
    <row r="132" spans="1:1">
      <c r="A132" s="49"/>
    </row>
    <row r="133" spans="1:1">
      <c r="A133" s="49"/>
    </row>
    <row r="134" spans="1:1">
      <c r="A134" s="49"/>
    </row>
    <row r="135" spans="1:1">
      <c r="A135" s="49"/>
    </row>
    <row r="136" spans="1:1">
      <c r="A136" s="49"/>
    </row>
    <row r="137" spans="1:1">
      <c r="A137" s="49"/>
    </row>
    <row r="138" spans="1:1">
      <c r="A138" s="49"/>
    </row>
    <row r="139" spans="1:1">
      <c r="A139" s="49"/>
    </row>
    <row r="140" spans="1:1">
      <c r="A140" s="49"/>
    </row>
    <row r="141" spans="1:1">
      <c r="A141" s="49"/>
    </row>
    <row r="142" spans="1:1">
      <c r="A142" s="49"/>
    </row>
    <row r="143" spans="1:1">
      <c r="A143" s="49"/>
    </row>
    <row r="144" spans="1:1">
      <c r="A144" s="49"/>
    </row>
    <row r="145" spans="1:1">
      <c r="A145" s="49"/>
    </row>
    <row r="146" spans="1:1">
      <c r="A146" s="49"/>
    </row>
    <row r="147" spans="1:1">
      <c r="A147" s="49"/>
    </row>
    <row r="148" spans="1:1">
      <c r="A148" s="49"/>
    </row>
    <row r="149" spans="1:1">
      <c r="A149" s="49"/>
    </row>
    <row r="150" spans="1:1">
      <c r="A150" s="49"/>
    </row>
    <row r="151" spans="1:1">
      <c r="A151" s="49"/>
    </row>
    <row r="152" spans="1:1">
      <c r="A152" s="49"/>
    </row>
    <row r="153" spans="1:1">
      <c r="A153" s="49"/>
    </row>
    <row r="154" spans="1:1">
      <c r="A154" s="49"/>
    </row>
    <row r="155" spans="1:1">
      <c r="A155" s="49"/>
    </row>
    <row r="156" spans="1:1">
      <c r="A156" s="49"/>
    </row>
    <row r="157" spans="1:1">
      <c r="A157" s="49"/>
    </row>
    <row r="158" spans="1:1">
      <c r="A158" s="49"/>
    </row>
    <row r="159" spans="1:1">
      <c r="A159" s="49"/>
    </row>
    <row r="160" spans="1:1">
      <c r="A160" s="49"/>
    </row>
    <row r="161" spans="1:1">
      <c r="A161" s="49"/>
    </row>
    <row r="162" spans="1:1">
      <c r="A162" s="49"/>
    </row>
    <row r="163" spans="1:1">
      <c r="A163" s="49"/>
    </row>
    <row r="164" spans="1:1">
      <c r="A164" s="49"/>
    </row>
    <row r="165" spans="1:1">
      <c r="A165" s="49"/>
    </row>
    <row r="166" spans="1:1">
      <c r="A166" s="49"/>
    </row>
    <row r="167" spans="1:1">
      <c r="A167" s="49"/>
    </row>
    <row r="168" spans="1:1">
      <c r="A168" s="49"/>
    </row>
    <row r="169" spans="1:1">
      <c r="A169" s="49"/>
    </row>
    <row r="170" spans="1:1">
      <c r="A170" s="49"/>
    </row>
    <row r="171" spans="1:1">
      <c r="A171" s="49"/>
    </row>
    <row r="172" spans="1:1">
      <c r="A172" s="49"/>
    </row>
    <row r="173" spans="1:1">
      <c r="A173" s="49"/>
    </row>
    <row r="174" spans="1:1">
      <c r="A174" s="49"/>
    </row>
    <row r="175" spans="1:1">
      <c r="A175" s="49"/>
    </row>
    <row r="176" spans="1:1">
      <c r="A176" s="49"/>
    </row>
    <row r="177" spans="1:1">
      <c r="A177" s="49"/>
    </row>
    <row r="178" spans="1:1">
      <c r="A178" s="49"/>
    </row>
    <row r="179" spans="1:1">
      <c r="A179" s="49"/>
    </row>
    <row r="180" spans="1:1">
      <c r="A180" s="49"/>
    </row>
    <row r="181" spans="1:1">
      <c r="A181" s="49"/>
    </row>
  </sheetData>
  <mergeCells count="13">
    <mergeCell ref="F3:F4"/>
    <mergeCell ref="G3:J3"/>
    <mergeCell ref="E3:E4"/>
    <mergeCell ref="C14:F14"/>
    <mergeCell ref="H14:J14"/>
    <mergeCell ref="C15:F15"/>
    <mergeCell ref="H15:J15"/>
    <mergeCell ref="A3:A4"/>
    <mergeCell ref="A1:J1"/>
    <mergeCell ref="B3:B4"/>
    <mergeCell ref="C3:C4"/>
    <mergeCell ref="D3:D4"/>
    <mergeCell ref="A2:J2"/>
  </mergeCells>
  <phoneticPr fontId="0" type="noConversion"/>
  <pageMargins left="1.1811023622047245" right="0.39370078740157483" top="0.78740157480314965" bottom="0.78740157480314965" header="0.39370078740157483" footer="0.31496062992125984"/>
  <pageSetup paperSize="9" scale="53" firstPageNumber="9" orientation="landscape" useFirstPageNumber="1" r:id="rId1"/>
  <headerFooter alignWithMargins="0">
    <oddHeader>&amp;C&amp;"Times New Roman,обычный"&amp;14 11&amp;R&amp;"Times New Roman,обычный"&amp;14
Продовження додатка 1 
Таблиця 4</oddHeader>
  </headerFooter>
  <ignoredErrors>
    <ignoredError sqref="B7" numberStoredAsText="1"/>
    <ignoredError sqref="F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J25"/>
  <sheetViews>
    <sheetView topLeftCell="A9" zoomScale="75" zoomScaleNormal="75" zoomScaleSheetLayoutView="75" workbookViewId="0">
      <selection activeCell="P15" sqref="P15"/>
    </sheetView>
  </sheetViews>
  <sheetFormatPr defaultRowHeight="12.75"/>
  <cols>
    <col min="1" max="1" width="94.28515625" style="32" customWidth="1"/>
    <col min="2" max="2" width="8.42578125" style="32" customWidth="1"/>
    <col min="3" max="3" width="14.85546875" style="32" customWidth="1"/>
    <col min="4" max="4" width="12.85546875" style="32" customWidth="1"/>
    <col min="5" max="5" width="14" style="32" customWidth="1"/>
    <col min="6" max="6" width="13.7109375" style="32" customWidth="1"/>
    <col min="7" max="7" width="11.5703125" style="32" customWidth="1"/>
    <col min="8" max="8" width="43.28515625" style="32" customWidth="1"/>
    <col min="9" max="9" width="9.5703125" style="32" customWidth="1"/>
    <col min="10" max="16384" width="9.140625" style="32"/>
  </cols>
  <sheetData>
    <row r="1" spans="1:8" ht="25.5" customHeight="1">
      <c r="A1" s="241" t="s">
        <v>147</v>
      </c>
      <c r="B1" s="241"/>
      <c r="C1" s="241"/>
      <c r="D1" s="241"/>
      <c r="E1" s="241"/>
      <c r="F1" s="241"/>
      <c r="G1" s="241"/>
      <c r="H1" s="241"/>
    </row>
    <row r="2" spans="1:8" ht="16.5" customHeight="1"/>
    <row r="3" spans="1:8" ht="45" customHeight="1">
      <c r="A3" s="239" t="s">
        <v>169</v>
      </c>
      <c r="B3" s="239" t="s">
        <v>0</v>
      </c>
      <c r="C3" s="239" t="s">
        <v>83</v>
      </c>
      <c r="D3" s="207" t="s">
        <v>378</v>
      </c>
      <c r="E3" s="207" t="s">
        <v>389</v>
      </c>
      <c r="F3" s="222" t="s">
        <v>397</v>
      </c>
      <c r="G3" s="207" t="s">
        <v>388</v>
      </c>
      <c r="H3" s="239" t="s">
        <v>84</v>
      </c>
    </row>
    <row r="4" spans="1:8" ht="52.5" customHeight="1">
      <c r="A4" s="240"/>
      <c r="B4" s="240"/>
      <c r="C4" s="240"/>
      <c r="D4" s="208"/>
      <c r="E4" s="208"/>
      <c r="F4" s="223"/>
      <c r="G4" s="208"/>
      <c r="H4" s="240"/>
    </row>
    <row r="5" spans="1:8" s="60" customFormat="1" ht="18" customHeight="1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</row>
    <row r="6" spans="1:8" s="60" customFormat="1" ht="20.100000000000001" customHeight="1">
      <c r="A6" s="59" t="s">
        <v>124</v>
      </c>
      <c r="B6" s="59"/>
      <c r="C6" s="39"/>
      <c r="D6" s="39"/>
      <c r="E6" s="39"/>
      <c r="F6" s="39"/>
      <c r="G6" s="39"/>
      <c r="H6" s="39"/>
    </row>
    <row r="7" spans="1:8" ht="56.25">
      <c r="A7" s="8" t="s">
        <v>371</v>
      </c>
      <c r="B7" s="7">
        <v>5000</v>
      </c>
      <c r="C7" s="79" t="s">
        <v>198</v>
      </c>
      <c r="D7" s="135">
        <f>('Осн. фін. пок.'!C11/'Осн. фін. пок.'!C9)*100</f>
        <v>-34.465551611462416</v>
      </c>
      <c r="E7" s="135">
        <f>('Осн. фін. пок.'!D11/'Осн. фін. пок.'!D9)*100</f>
        <v>2.5138529737717028</v>
      </c>
      <c r="F7" s="135">
        <f>('Осн. фін. пок.'!E11/'Осн. фін. пок.'!E9)*100</f>
        <v>11.89974219459163</v>
      </c>
      <c r="G7" s="135">
        <f>('Осн. фін. пок.'!F11/'Осн. фін. пок.'!F9)*100</f>
        <v>12.471910815404993</v>
      </c>
      <c r="H7" s="86"/>
    </row>
    <row r="8" spans="1:8" ht="56.25">
      <c r="A8" s="8" t="s">
        <v>372</v>
      </c>
      <c r="B8" s="7">
        <v>5010</v>
      </c>
      <c r="C8" s="79" t="s">
        <v>198</v>
      </c>
      <c r="D8" s="135">
        <f>('Осн. фін. пок.'!C17/'Осн. фін. пок.'!C9)*100</f>
        <v>-32.20103904652202</v>
      </c>
      <c r="E8" s="135">
        <f>('Осн. фін. пок.'!D17/'Осн. фін. пок.'!D9)*100</f>
        <v>4.268562984854082</v>
      </c>
      <c r="F8" s="135">
        <f>('Осн. фін. пок.'!E17/'Осн. фін. пок.'!E9)*100</f>
        <v>3.5079254712798997</v>
      </c>
      <c r="G8" s="135">
        <f>('Осн. фін. пок.'!F17/'Осн. фін. пок.'!F9)*100</f>
        <v>3.3441511716428027</v>
      </c>
      <c r="H8" s="86"/>
    </row>
    <row r="9" spans="1:8" ht="42.75" customHeight="1">
      <c r="A9" s="88" t="s">
        <v>374</v>
      </c>
      <c r="B9" s="7">
        <v>5020</v>
      </c>
      <c r="C9" s="79" t="s">
        <v>198</v>
      </c>
      <c r="D9" s="135">
        <f>('Осн. фін. пок.'!C30/'Осн. фін. пок.'!C70)*100</f>
        <v>-0.76542373338977554</v>
      </c>
      <c r="E9" s="135">
        <v>0</v>
      </c>
      <c r="F9" s="135">
        <f>('Осн. фін. пок.'!E30/'Осн. фін. пок.'!E70)*100</f>
        <v>1.5360067190621022E-2</v>
      </c>
      <c r="G9" s="135">
        <f>('Осн. фін. пок.'!F30/'Осн. фін. пок.'!F70)*100</f>
        <v>3.8018435957010981E-2</v>
      </c>
      <c r="H9" s="86" t="s">
        <v>199</v>
      </c>
    </row>
    <row r="10" spans="1:8" ht="42.75" customHeight="1">
      <c r="A10" s="88" t="s">
        <v>375</v>
      </c>
      <c r="B10" s="7">
        <v>5030</v>
      </c>
      <c r="C10" s="79" t="s">
        <v>198</v>
      </c>
      <c r="D10" s="135">
        <f>('Осн. фін. пок.'!C30/'Осн. фін. пок.'!C76)*100</f>
        <v>-0.79607779030835424</v>
      </c>
      <c r="E10" s="135">
        <v>0</v>
      </c>
      <c r="F10" s="135">
        <f>('Осн. фін. пок.'!E30/'Осн. фін. пок.'!E76)*100</f>
        <v>1.5975214531100363E-2</v>
      </c>
      <c r="G10" s="135">
        <f>('Осн. фін. пок.'!F30/'Осн. фін. пок.'!F76)*100</f>
        <v>3.9541016521138964E-2</v>
      </c>
      <c r="H10" s="86"/>
    </row>
    <row r="11" spans="1:8" ht="56.25">
      <c r="A11" s="88" t="s">
        <v>373</v>
      </c>
      <c r="B11" s="7">
        <v>5040</v>
      </c>
      <c r="C11" s="79" t="s">
        <v>198</v>
      </c>
      <c r="D11" s="135">
        <f>('Осн. фін. пок.'!C30/'Осн. фін. пок.'!C9)*100</f>
        <v>-37.320214391499569</v>
      </c>
      <c r="E11" s="135">
        <f>('Осн. фін. пок.'!D30/'Осн. фін. пок.'!D9)*100</f>
        <v>0.51717768747691173</v>
      </c>
      <c r="F11" s="135">
        <f>('Осн. фін. пок.'!E30/'Осн. фін. пок.'!E9)*100</f>
        <v>0.42032968482826877</v>
      </c>
      <c r="G11" s="135">
        <f>('Осн. фін. пок.'!F30/'Осн. фін. пок.'!F9)*100</f>
        <v>0.82232951997581127</v>
      </c>
      <c r="H11" s="86" t="s">
        <v>200</v>
      </c>
    </row>
    <row r="12" spans="1:8" ht="20.100000000000001" customHeight="1">
      <c r="A12" s="59" t="s">
        <v>126</v>
      </c>
      <c r="B12" s="7"/>
      <c r="C12" s="80"/>
      <c r="D12" s="87"/>
      <c r="E12" s="87"/>
      <c r="F12" s="87"/>
      <c r="G12" s="87"/>
      <c r="H12" s="86"/>
    </row>
    <row r="13" spans="1:8" ht="56.25">
      <c r="A13" s="78" t="s">
        <v>330</v>
      </c>
      <c r="B13" s="7">
        <v>5100</v>
      </c>
      <c r="C13" s="79"/>
      <c r="D13" s="135">
        <v>0</v>
      </c>
      <c r="E13" s="135">
        <v>0</v>
      </c>
      <c r="F13" s="135">
        <v>0</v>
      </c>
      <c r="G13" s="135">
        <v>0</v>
      </c>
      <c r="H13" s="86"/>
    </row>
    <row r="14" spans="1:8" s="60" customFormat="1" ht="75">
      <c r="A14" s="78" t="s">
        <v>361</v>
      </c>
      <c r="B14" s="7">
        <v>5110</v>
      </c>
      <c r="C14" s="79" t="s">
        <v>121</v>
      </c>
      <c r="D14" s="135">
        <v>0</v>
      </c>
      <c r="E14" s="135">
        <v>0</v>
      </c>
      <c r="F14" s="135">
        <v>0</v>
      </c>
      <c r="G14" s="135">
        <v>0</v>
      </c>
      <c r="H14" s="86" t="s">
        <v>201</v>
      </c>
    </row>
    <row r="15" spans="1:8" s="60" customFormat="1" ht="112.5">
      <c r="A15" s="78" t="s">
        <v>362</v>
      </c>
      <c r="B15" s="7">
        <v>5120</v>
      </c>
      <c r="C15" s="79" t="s">
        <v>121</v>
      </c>
      <c r="D15" s="135">
        <f>'Осн. фін. пок.'!C68/'Осн. фін. пок.'!C72</f>
        <v>0</v>
      </c>
      <c r="E15" s="135">
        <v>0</v>
      </c>
      <c r="F15" s="135">
        <f>'Осн. фін. пок.'!E68/'Осн. фін. пок.'!E72</f>
        <v>0</v>
      </c>
      <c r="G15" s="135">
        <f>'Осн. фін. пок.'!F68/'Осн. фін. пок.'!F72</f>
        <v>0</v>
      </c>
      <c r="H15" s="86" t="s">
        <v>203</v>
      </c>
    </row>
    <row r="16" spans="1:8" ht="20.100000000000001" customHeight="1">
      <c r="A16" s="59" t="s">
        <v>125</v>
      </c>
      <c r="B16" s="7"/>
      <c r="C16" s="79"/>
      <c r="D16" s="87"/>
      <c r="E16" s="87"/>
      <c r="F16" s="87"/>
      <c r="G16" s="87"/>
      <c r="H16" s="86"/>
    </row>
    <row r="17" spans="1:10" ht="42.75" customHeight="1">
      <c r="A17" s="78" t="s">
        <v>363</v>
      </c>
      <c r="B17" s="7">
        <v>5200</v>
      </c>
      <c r="C17" s="79"/>
      <c r="D17" s="135">
        <f>'IV. Кап. інвестиції'!C6/'I. Фін результат'!C96</f>
        <v>0.12392703862660945</v>
      </c>
      <c r="E17" s="135">
        <f>'IV. Кап. інвестиції'!D6/'I. Фін результат'!D96</f>
        <v>0.7767279960218797</v>
      </c>
      <c r="F17" s="135">
        <f>'IV. Кап. інвестиції'!E6/'I. Фін результат'!E96</f>
        <v>0.11802575107296137</v>
      </c>
      <c r="G17" s="135">
        <f>'IV. Кап. інвестиції'!F6/'I. Фін результат'!F96</f>
        <v>0.2391304347826087</v>
      </c>
      <c r="H17" s="86"/>
    </row>
    <row r="18" spans="1:10" ht="75">
      <c r="A18" s="78" t="s">
        <v>364</v>
      </c>
      <c r="B18" s="7">
        <v>5210</v>
      </c>
      <c r="C18" s="79"/>
      <c r="D18" s="135">
        <f>'Осн. фін. пок.'!C56/'Осн. фін. пок.'!C9</f>
        <v>5.4303110087214083E-3</v>
      </c>
      <c r="E18" s="135">
        <f>'Осн. фін. пок.'!D56/'Осн. фін. пок.'!D9</f>
        <v>2.8851126708533431E-2</v>
      </c>
      <c r="F18" s="135">
        <f>'Осн. фін. пок.'!E56/'Осн. фін. пок.'!E9</f>
        <v>3.0477507335711718E-3</v>
      </c>
      <c r="G18" s="135">
        <f>'Осн. фін. пок.'!F56/'Осн. фін. пок.'!F9</f>
        <v>4.8179704038960906E-3</v>
      </c>
      <c r="H18" s="86"/>
    </row>
    <row r="19" spans="1:10" ht="42.75" customHeight="1">
      <c r="A19" s="78" t="s">
        <v>365</v>
      </c>
      <c r="B19" s="7">
        <v>5220</v>
      </c>
      <c r="C19" s="79" t="s">
        <v>295</v>
      </c>
      <c r="D19" s="135">
        <f>'Осн. фін. пок.'!C67/'Осн. фін. пок.'!C66</f>
        <v>0.35796062161783715</v>
      </c>
      <c r="E19" s="135">
        <v>0</v>
      </c>
      <c r="F19" s="135">
        <f>'Осн. фін. пок.'!E67/'Осн. фін. пок.'!E66</f>
        <v>0.35796062161783715</v>
      </c>
      <c r="G19" s="135">
        <f>'Осн. фін. пок.'!F67/'Осн. фін. пок.'!F66</f>
        <v>0.35796062161783715</v>
      </c>
      <c r="H19" s="86" t="s">
        <v>202</v>
      </c>
    </row>
    <row r="20" spans="1:10" ht="20.100000000000001" customHeight="1">
      <c r="A20" s="59" t="s">
        <v>175</v>
      </c>
      <c r="B20" s="7"/>
      <c r="C20" s="79"/>
      <c r="D20" s="87"/>
      <c r="E20" s="87"/>
      <c r="F20" s="87"/>
      <c r="G20" s="87"/>
      <c r="H20" s="86"/>
    </row>
    <row r="21" spans="1:10" ht="75">
      <c r="A21" s="88" t="s">
        <v>209</v>
      </c>
      <c r="B21" s="7">
        <v>5300</v>
      </c>
      <c r="C21" s="79"/>
      <c r="D21" s="87"/>
      <c r="E21" s="87"/>
      <c r="F21" s="87"/>
      <c r="G21" s="87"/>
      <c r="H21" s="86"/>
    </row>
    <row r="22" spans="1:10" ht="20.100000000000001" customHeight="1"/>
    <row r="23" spans="1:10" s="3" customFormat="1" ht="20.100000000000001" customHeight="1">
      <c r="A23" s="178" t="s">
        <v>477</v>
      </c>
      <c r="B23" s="178"/>
      <c r="C23" s="179"/>
      <c r="D23" s="242"/>
      <c r="E23" s="243"/>
      <c r="F23" s="243"/>
      <c r="G23" s="243"/>
      <c r="H23" s="213" t="s">
        <v>462</v>
      </c>
      <c r="I23" s="213"/>
      <c r="J23" s="213"/>
    </row>
    <row r="24" spans="1:10" s="2" customFormat="1" ht="20.100000000000001" customHeight="1">
      <c r="A24" s="67"/>
      <c r="B24" s="43"/>
      <c r="C24" s="3"/>
      <c r="D24" s="209"/>
      <c r="E24" s="209"/>
      <c r="F24" s="209"/>
      <c r="G24" s="209"/>
      <c r="I24" s="57"/>
      <c r="J24" s="57"/>
    </row>
    <row r="25" spans="1:10">
      <c r="A25" s="32" t="s">
        <v>463</v>
      </c>
    </row>
  </sheetData>
  <mergeCells count="12">
    <mergeCell ref="H23:J23"/>
    <mergeCell ref="G3:G4"/>
    <mergeCell ref="A1:H1"/>
    <mergeCell ref="H3:H4"/>
    <mergeCell ref="D23:G23"/>
    <mergeCell ref="D24:G24"/>
    <mergeCell ref="A3:A4"/>
    <mergeCell ref="B3:B4"/>
    <mergeCell ref="C3:C4"/>
    <mergeCell ref="D3:D4"/>
    <mergeCell ref="E3:E4"/>
    <mergeCell ref="F3:F4"/>
  </mergeCells>
  <phoneticPr fontId="3" type="noConversion"/>
  <pageMargins left="0.78740157480314965" right="0.59055118110236227" top="0.78740157480314965" bottom="0.78740157480314965" header="0.47244094488188981" footer="0.31496062992125984"/>
  <pageSetup paperSize="9" scale="42" orientation="landscape" r:id="rId1"/>
  <headerFooter alignWithMargins="0">
    <oddHeader>&amp;C&amp;"Times New Roman,обычный"&amp;14
 12&amp;R
&amp;"Times New Roman,обычный"&amp;14Продовження  додатка 1
Таблиця 5</oddHeader>
  </headerFooter>
  <ignoredErrors>
    <ignoredError sqref="F19:G19 G17:G18 F15:G15 G11 F10:G10 F9:G9 G7:G8 D7:D12 G16 E7:F8 E16:F18 G12 E11:F12 D15:D1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82"/>
  <sheetViews>
    <sheetView topLeftCell="A43" zoomScale="75" zoomScaleNormal="75" zoomScaleSheetLayoutView="75" workbookViewId="0">
      <selection sqref="A1:O68"/>
    </sheetView>
  </sheetViews>
  <sheetFormatPr defaultRowHeight="18.75"/>
  <cols>
    <col min="1" max="1" width="44.85546875" style="2" customWidth="1"/>
    <col min="2" max="2" width="13.5703125" style="21" customWidth="1"/>
    <col min="3" max="3" width="12.7109375" style="2" customWidth="1"/>
    <col min="4" max="4" width="17.28515625" style="2" customWidth="1"/>
    <col min="5" max="5" width="8.140625" style="2" hidden="1" customWidth="1"/>
    <col min="6" max="6" width="16.5703125" style="2" customWidth="1"/>
    <col min="7" max="7" width="13.7109375" style="2" customWidth="1"/>
    <col min="8" max="8" width="16.5703125" style="2" customWidth="1"/>
    <col min="9" max="9" width="21.42578125" style="2" customWidth="1"/>
    <col min="10" max="10" width="16.42578125" style="2" customWidth="1"/>
    <col min="11" max="11" width="12.140625" style="2" customWidth="1"/>
    <col min="12" max="12" width="16.85546875" style="2" customWidth="1"/>
    <col min="13" max="15" width="16.7109375" style="2" customWidth="1"/>
    <col min="16" max="16384" width="9.140625" style="2"/>
  </cols>
  <sheetData>
    <row r="1" spans="1:15">
      <c r="A1" s="288" t="s">
        <v>98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spans="1:15">
      <c r="A2" s="288" t="s">
        <v>390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</row>
    <row r="3" spans="1:15">
      <c r="A3" s="209" t="s">
        <v>64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5" ht="20.100000000000001" customHeight="1">
      <c r="A4" s="286" t="s">
        <v>391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 ht="21.95" customHeight="1">
      <c r="A5" s="269" t="s">
        <v>296</v>
      </c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</row>
    <row r="6" spans="1:15" ht="10.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6.5" customHeight="1">
      <c r="A7" s="287" t="s">
        <v>204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</row>
    <row r="8" spans="1:15" ht="10.5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" customFormat="1" ht="40.5" customHeight="1">
      <c r="A9" s="216" t="s">
        <v>169</v>
      </c>
      <c r="B9" s="216"/>
      <c r="C9" s="216"/>
      <c r="D9" s="202" t="s">
        <v>378</v>
      </c>
      <c r="E9" s="202"/>
      <c r="F9" s="202" t="s">
        <v>383</v>
      </c>
      <c r="G9" s="202"/>
      <c r="H9" s="202" t="s">
        <v>396</v>
      </c>
      <c r="I9" s="202"/>
      <c r="J9" s="202" t="s">
        <v>388</v>
      </c>
      <c r="K9" s="202"/>
      <c r="L9" s="202" t="s">
        <v>331</v>
      </c>
      <c r="M9" s="202"/>
      <c r="N9" s="202" t="s">
        <v>176</v>
      </c>
      <c r="O9" s="202"/>
    </row>
    <row r="10" spans="1:15" s="3" customFormat="1" ht="18" customHeight="1">
      <c r="A10" s="216">
        <v>1</v>
      </c>
      <c r="B10" s="216"/>
      <c r="C10" s="216"/>
      <c r="D10" s="202">
        <v>2</v>
      </c>
      <c r="E10" s="202"/>
      <c r="F10" s="202">
        <v>3</v>
      </c>
      <c r="G10" s="202"/>
      <c r="H10" s="202">
        <v>4</v>
      </c>
      <c r="I10" s="202"/>
      <c r="J10" s="202">
        <v>5</v>
      </c>
      <c r="K10" s="202"/>
      <c r="L10" s="202">
        <v>6</v>
      </c>
      <c r="M10" s="202"/>
      <c r="N10" s="202">
        <v>7</v>
      </c>
      <c r="O10" s="202"/>
    </row>
    <row r="11" spans="1:15" s="3" customFormat="1" ht="60" customHeight="1">
      <c r="A11" s="228" t="s">
        <v>305</v>
      </c>
      <c r="B11" s="229"/>
      <c r="C11" s="230"/>
      <c r="D11" s="263">
        <f>SUM(D12:D14)</f>
        <v>261</v>
      </c>
      <c r="E11" s="264"/>
      <c r="F11" s="263">
        <f>SUM(F12:F14)</f>
        <v>0</v>
      </c>
      <c r="G11" s="264"/>
      <c r="H11" s="263">
        <f>SUM(H12:H14)</f>
        <v>262</v>
      </c>
      <c r="I11" s="264"/>
      <c r="J11" s="263">
        <f>SUM(J12:J14)</f>
        <v>262</v>
      </c>
      <c r="K11" s="264"/>
      <c r="L11" s="248">
        <f>J11/H11*100</f>
        <v>100</v>
      </c>
      <c r="M11" s="249"/>
      <c r="N11" s="248">
        <f>J11/D11*100</f>
        <v>100.38314176245211</v>
      </c>
      <c r="O11" s="249"/>
    </row>
    <row r="12" spans="1:15" s="3" customFormat="1" ht="19.5" customHeight="1">
      <c r="A12" s="254" t="s">
        <v>167</v>
      </c>
      <c r="B12" s="255"/>
      <c r="C12" s="256"/>
      <c r="D12" s="252">
        <v>0</v>
      </c>
      <c r="E12" s="253"/>
      <c r="F12" s="252">
        <v>0</v>
      </c>
      <c r="G12" s="253"/>
      <c r="H12" s="252">
        <v>1</v>
      </c>
      <c r="I12" s="253"/>
      <c r="J12" s="252">
        <v>1</v>
      </c>
      <c r="K12" s="253"/>
      <c r="L12" s="246">
        <f t="shared" ref="L12:L26" si="0">J12/H12*100</f>
        <v>100</v>
      </c>
      <c r="M12" s="247"/>
      <c r="N12" s="246">
        <v>0</v>
      </c>
      <c r="O12" s="247"/>
    </row>
    <row r="13" spans="1:15" s="3" customFormat="1" ht="20.100000000000001" customHeight="1">
      <c r="A13" s="254" t="s">
        <v>177</v>
      </c>
      <c r="B13" s="255"/>
      <c r="C13" s="256"/>
      <c r="D13" s="252">
        <v>34</v>
      </c>
      <c r="E13" s="253"/>
      <c r="F13" s="252">
        <v>0</v>
      </c>
      <c r="G13" s="253"/>
      <c r="H13" s="252">
        <v>34</v>
      </c>
      <c r="I13" s="253"/>
      <c r="J13" s="252">
        <v>34</v>
      </c>
      <c r="K13" s="253"/>
      <c r="L13" s="246">
        <f t="shared" si="0"/>
        <v>100</v>
      </c>
      <c r="M13" s="247"/>
      <c r="N13" s="246">
        <f t="shared" ref="N13:N26" si="1">J13/D13*100</f>
        <v>100</v>
      </c>
      <c r="O13" s="247"/>
    </row>
    <row r="14" spans="1:15" s="3" customFormat="1" ht="20.100000000000001" customHeight="1">
      <c r="A14" s="254" t="s">
        <v>168</v>
      </c>
      <c r="B14" s="255"/>
      <c r="C14" s="256"/>
      <c r="D14" s="252">
        <v>227</v>
      </c>
      <c r="E14" s="253"/>
      <c r="F14" s="252">
        <v>0</v>
      </c>
      <c r="G14" s="253"/>
      <c r="H14" s="252">
        <v>227</v>
      </c>
      <c r="I14" s="253"/>
      <c r="J14" s="252">
        <v>227</v>
      </c>
      <c r="K14" s="253"/>
      <c r="L14" s="246">
        <f t="shared" si="0"/>
        <v>100</v>
      </c>
      <c r="M14" s="247"/>
      <c r="N14" s="246">
        <f t="shared" si="1"/>
        <v>100</v>
      </c>
      <c r="O14" s="247"/>
    </row>
    <row r="15" spans="1:15" s="3" customFormat="1">
      <c r="A15" s="228" t="s">
        <v>366</v>
      </c>
      <c r="B15" s="229"/>
      <c r="C15" s="230"/>
      <c r="D15" s="263">
        <f>SUM(D16:D18)</f>
        <v>22713</v>
      </c>
      <c r="E15" s="264"/>
      <c r="F15" s="263">
        <f>SUM(F16:F18)</f>
        <v>0</v>
      </c>
      <c r="G15" s="264"/>
      <c r="H15" s="263">
        <f>SUM(H16:H18)</f>
        <v>23967.1</v>
      </c>
      <c r="I15" s="264"/>
      <c r="J15" s="263">
        <f>SUM(J16:J18)</f>
        <v>27668</v>
      </c>
      <c r="K15" s="264"/>
      <c r="L15" s="248">
        <f t="shared" si="0"/>
        <v>115.44158450542619</v>
      </c>
      <c r="M15" s="249"/>
      <c r="N15" s="248">
        <f t="shared" si="1"/>
        <v>121.81570025976313</v>
      </c>
      <c r="O15" s="249"/>
    </row>
    <row r="16" spans="1:15" s="3" customFormat="1" ht="20.100000000000001" customHeight="1">
      <c r="A16" s="254" t="s">
        <v>167</v>
      </c>
      <c r="B16" s="255"/>
      <c r="C16" s="256"/>
      <c r="D16" s="252">
        <v>0</v>
      </c>
      <c r="E16" s="253"/>
      <c r="F16" s="252">
        <v>0</v>
      </c>
      <c r="G16" s="253"/>
      <c r="H16" s="252">
        <v>254.1</v>
      </c>
      <c r="I16" s="253"/>
      <c r="J16" s="252">
        <v>279.7</v>
      </c>
      <c r="K16" s="253"/>
      <c r="L16" s="246">
        <f t="shared" si="0"/>
        <v>110.07477371113734</v>
      </c>
      <c r="M16" s="247"/>
      <c r="N16" s="246">
        <v>0</v>
      </c>
      <c r="O16" s="247"/>
    </row>
    <row r="17" spans="1:15" s="3" customFormat="1" ht="20.100000000000001" customHeight="1">
      <c r="A17" s="254" t="s">
        <v>177</v>
      </c>
      <c r="B17" s="255"/>
      <c r="C17" s="256"/>
      <c r="D17" s="252">
        <v>2992</v>
      </c>
      <c r="E17" s="253"/>
      <c r="F17" s="252">
        <v>0</v>
      </c>
      <c r="G17" s="253"/>
      <c r="H17" s="252">
        <f>D17+500</f>
        <v>3492</v>
      </c>
      <c r="I17" s="253"/>
      <c r="J17" s="252">
        <f>4797-J16</f>
        <v>4517.3</v>
      </c>
      <c r="K17" s="253"/>
      <c r="L17" s="246">
        <f t="shared" si="0"/>
        <v>129.36139747995418</v>
      </c>
      <c r="M17" s="247"/>
      <c r="N17" s="246">
        <f t="shared" si="1"/>
        <v>150.9792780748663</v>
      </c>
      <c r="O17" s="247"/>
    </row>
    <row r="18" spans="1:15" s="3" customFormat="1" ht="20.100000000000001" customHeight="1">
      <c r="A18" s="254" t="s">
        <v>168</v>
      </c>
      <c r="B18" s="255"/>
      <c r="C18" s="256"/>
      <c r="D18" s="252">
        <v>19721</v>
      </c>
      <c r="E18" s="253"/>
      <c r="F18" s="252">
        <v>0</v>
      </c>
      <c r="G18" s="253"/>
      <c r="H18" s="252">
        <v>20221</v>
      </c>
      <c r="I18" s="253"/>
      <c r="J18" s="252">
        <f>27668-J17-J16</f>
        <v>22871</v>
      </c>
      <c r="K18" s="253"/>
      <c r="L18" s="246">
        <f t="shared" si="0"/>
        <v>113.10518767617823</v>
      </c>
      <c r="M18" s="247"/>
      <c r="N18" s="246">
        <f t="shared" si="1"/>
        <v>115.97282085086964</v>
      </c>
      <c r="O18" s="247"/>
    </row>
    <row r="19" spans="1:15" s="3" customFormat="1" ht="20.100000000000001" customHeight="1">
      <c r="A19" s="228" t="s">
        <v>367</v>
      </c>
      <c r="B19" s="229"/>
      <c r="C19" s="230"/>
      <c r="D19" s="263">
        <f>'I. Фін результат'!C94</f>
        <v>22165</v>
      </c>
      <c r="E19" s="264"/>
      <c r="F19" s="263">
        <f>'I. Фін результат'!D94</f>
        <v>31919</v>
      </c>
      <c r="G19" s="264"/>
      <c r="H19" s="263">
        <f>'I. Фін результат'!E94</f>
        <v>23273.25</v>
      </c>
      <c r="I19" s="264"/>
      <c r="J19" s="263">
        <f>'I. Фін результат'!F94</f>
        <v>27668</v>
      </c>
      <c r="K19" s="264"/>
      <c r="L19" s="248">
        <f t="shared" si="0"/>
        <v>118.88326727036404</v>
      </c>
      <c r="M19" s="249"/>
      <c r="N19" s="248">
        <f t="shared" si="1"/>
        <v>124.82743063388224</v>
      </c>
      <c r="O19" s="249"/>
    </row>
    <row r="20" spans="1:15" s="3" customFormat="1" ht="20.100000000000001" customHeight="1">
      <c r="A20" s="254" t="s">
        <v>167</v>
      </c>
      <c r="B20" s="255"/>
      <c r="C20" s="256"/>
      <c r="D20" s="252">
        <v>0</v>
      </c>
      <c r="E20" s="253"/>
      <c r="F20" s="252">
        <v>0</v>
      </c>
      <c r="G20" s="253"/>
      <c r="H20" s="252">
        <f>H16</f>
        <v>254.1</v>
      </c>
      <c r="I20" s="253"/>
      <c r="J20" s="252">
        <f>J16</f>
        <v>279.7</v>
      </c>
      <c r="K20" s="253"/>
      <c r="L20" s="246">
        <f t="shared" si="0"/>
        <v>110.07477371113734</v>
      </c>
      <c r="M20" s="247"/>
      <c r="N20" s="246">
        <v>0</v>
      </c>
      <c r="O20" s="247"/>
    </row>
    <row r="21" spans="1:15" s="3" customFormat="1" ht="20.100000000000001" customHeight="1">
      <c r="A21" s="254" t="s">
        <v>177</v>
      </c>
      <c r="B21" s="255"/>
      <c r="C21" s="256"/>
      <c r="D21" s="252">
        <v>2911</v>
      </c>
      <c r="E21" s="253"/>
      <c r="F21" s="252">
        <v>0</v>
      </c>
      <c r="G21" s="253"/>
      <c r="H21" s="252">
        <f>H17</f>
        <v>3492</v>
      </c>
      <c r="I21" s="253"/>
      <c r="J21" s="252">
        <v>4797</v>
      </c>
      <c r="K21" s="253"/>
      <c r="L21" s="246">
        <f t="shared" si="0"/>
        <v>137.37113402061857</v>
      </c>
      <c r="M21" s="247"/>
      <c r="N21" s="246">
        <f t="shared" si="1"/>
        <v>164.78873239436621</v>
      </c>
      <c r="O21" s="247"/>
    </row>
    <row r="22" spans="1:15" s="3" customFormat="1" ht="19.5" customHeight="1">
      <c r="A22" s="254" t="s">
        <v>168</v>
      </c>
      <c r="B22" s="255"/>
      <c r="C22" s="256"/>
      <c r="D22" s="252">
        <v>19262</v>
      </c>
      <c r="E22" s="253"/>
      <c r="F22" s="252">
        <v>0</v>
      </c>
      <c r="G22" s="253"/>
      <c r="H22" s="252">
        <f>H18</f>
        <v>20221</v>
      </c>
      <c r="I22" s="253"/>
      <c r="J22" s="252">
        <f>27668-J21-J20</f>
        <v>22591.3</v>
      </c>
      <c r="K22" s="253"/>
      <c r="L22" s="246">
        <f t="shared" si="0"/>
        <v>111.72197220711142</v>
      </c>
      <c r="M22" s="247"/>
      <c r="N22" s="246">
        <f t="shared" si="1"/>
        <v>117.28429031253245</v>
      </c>
      <c r="O22" s="247"/>
    </row>
    <row r="23" spans="1:15" s="3" customFormat="1" ht="39" customHeight="1">
      <c r="A23" s="228" t="s">
        <v>347</v>
      </c>
      <c r="B23" s="229"/>
      <c r="C23" s="230"/>
      <c r="D23" s="250">
        <f>(D19/D11)/12*1000</f>
        <v>7076.9476372924655</v>
      </c>
      <c r="E23" s="251"/>
      <c r="F23" s="250">
        <v>0</v>
      </c>
      <c r="G23" s="251"/>
      <c r="H23" s="250">
        <f>(H19/H11)/12*1000</f>
        <v>7402.4332061068708</v>
      </c>
      <c r="I23" s="251"/>
      <c r="J23" s="250">
        <f>(J19/J11)/12*1000</f>
        <v>8800.2544529262086</v>
      </c>
      <c r="K23" s="251"/>
      <c r="L23" s="248">
        <f t="shared" si="0"/>
        <v>118.88326727036404</v>
      </c>
      <c r="M23" s="249"/>
      <c r="N23" s="248">
        <f t="shared" si="1"/>
        <v>124.35099005894375</v>
      </c>
      <c r="O23" s="249"/>
    </row>
    <row r="24" spans="1:15" s="3" customFormat="1" ht="20.100000000000001" customHeight="1">
      <c r="A24" s="254" t="s">
        <v>167</v>
      </c>
      <c r="B24" s="255"/>
      <c r="C24" s="256"/>
      <c r="D24" s="244">
        <v>0</v>
      </c>
      <c r="E24" s="245"/>
      <c r="F24" s="244">
        <v>0</v>
      </c>
      <c r="G24" s="245"/>
      <c r="H24" s="244">
        <f>(H20/H12)/12*1000</f>
        <v>21175</v>
      </c>
      <c r="I24" s="245"/>
      <c r="J24" s="244">
        <f>(J20/J12)/12*1000</f>
        <v>23308.333333333332</v>
      </c>
      <c r="K24" s="245"/>
      <c r="L24" s="246">
        <f t="shared" si="0"/>
        <v>110.07477371113734</v>
      </c>
      <c r="M24" s="247"/>
      <c r="N24" s="246">
        <v>0</v>
      </c>
      <c r="O24" s="247"/>
    </row>
    <row r="25" spans="1:15" s="3" customFormat="1" ht="20.100000000000001" customHeight="1">
      <c r="A25" s="254" t="s">
        <v>177</v>
      </c>
      <c r="B25" s="255"/>
      <c r="C25" s="256"/>
      <c r="D25" s="244">
        <f>(D21/D13)/12*1000</f>
        <v>7134.8039215686285</v>
      </c>
      <c r="E25" s="245"/>
      <c r="F25" s="244">
        <v>0</v>
      </c>
      <c r="G25" s="245"/>
      <c r="H25" s="244">
        <f>(H21/H13)/12*1000</f>
        <v>8558.823529411764</v>
      </c>
      <c r="I25" s="245"/>
      <c r="J25" s="244">
        <f>(J21/J13)/12*1000</f>
        <v>11757.35294117647</v>
      </c>
      <c r="K25" s="245"/>
      <c r="L25" s="246">
        <f t="shared" si="0"/>
        <v>137.37113402061857</v>
      </c>
      <c r="M25" s="247"/>
      <c r="N25" s="246">
        <f t="shared" si="1"/>
        <v>164.78873239436618</v>
      </c>
      <c r="O25" s="247"/>
    </row>
    <row r="26" spans="1:15" s="3" customFormat="1" ht="20.25" customHeight="1">
      <c r="A26" s="254" t="s">
        <v>168</v>
      </c>
      <c r="B26" s="255"/>
      <c r="C26" s="256"/>
      <c r="D26" s="244">
        <f>(D22/D14)/12*1000</f>
        <v>7071.2187958883997</v>
      </c>
      <c r="E26" s="245"/>
      <c r="F26" s="244">
        <v>0</v>
      </c>
      <c r="G26" s="245"/>
      <c r="H26" s="244">
        <f>(H22/H14)/12*1000</f>
        <v>7423.2745961820856</v>
      </c>
      <c r="I26" s="245"/>
      <c r="J26" s="244">
        <f>(J22/J14)/12*1000</f>
        <v>8293.4287812041111</v>
      </c>
      <c r="K26" s="245"/>
      <c r="L26" s="246">
        <f t="shared" si="0"/>
        <v>111.72197220711139</v>
      </c>
      <c r="M26" s="247"/>
      <c r="N26" s="246">
        <f t="shared" si="1"/>
        <v>117.28429031253245</v>
      </c>
      <c r="O26" s="247"/>
    </row>
    <row r="27" spans="1:15" ht="10.5" customHeight="1">
      <c r="A27" s="24"/>
      <c r="B27" s="24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0.100000000000001" customHeight="1">
      <c r="A28" s="282" t="s">
        <v>306</v>
      </c>
      <c r="B28" s="282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282"/>
    </row>
    <row r="29" spans="1:15" ht="15" customHeight="1">
      <c r="A29" s="25"/>
      <c r="B29" s="25"/>
      <c r="C29" s="25"/>
      <c r="D29" s="25"/>
      <c r="E29" s="25"/>
      <c r="F29" s="25"/>
      <c r="G29" s="25"/>
      <c r="H29" s="25"/>
      <c r="I29" s="25"/>
    </row>
    <row r="30" spans="1:15" ht="21.95" customHeight="1">
      <c r="A30" s="269" t="s">
        <v>187</v>
      </c>
      <c r="B30" s="269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</row>
    <row r="31" spans="1:15" ht="10.5" customHeight="1"/>
    <row r="32" spans="1:15" ht="60" customHeight="1">
      <c r="A32" s="38" t="s">
        <v>105</v>
      </c>
      <c r="B32" s="279" t="s">
        <v>188</v>
      </c>
      <c r="C32" s="280"/>
      <c r="D32" s="280"/>
      <c r="E32" s="280"/>
      <c r="F32" s="216" t="s">
        <v>72</v>
      </c>
      <c r="G32" s="216"/>
      <c r="H32" s="216"/>
      <c r="I32" s="216"/>
      <c r="J32" s="216"/>
      <c r="K32" s="216"/>
      <c r="L32" s="216"/>
      <c r="M32" s="216"/>
      <c r="N32" s="216"/>
      <c r="O32" s="216"/>
    </row>
    <row r="33" spans="1:15" ht="18" customHeight="1">
      <c r="A33" s="38">
        <v>1</v>
      </c>
      <c r="B33" s="279">
        <v>2</v>
      </c>
      <c r="C33" s="280"/>
      <c r="D33" s="280"/>
      <c r="E33" s="280"/>
      <c r="F33" s="216">
        <v>3</v>
      </c>
      <c r="G33" s="216"/>
      <c r="H33" s="216"/>
      <c r="I33" s="216"/>
      <c r="J33" s="216"/>
      <c r="K33" s="216"/>
      <c r="L33" s="216"/>
      <c r="M33" s="216"/>
      <c r="N33" s="216"/>
      <c r="O33" s="216"/>
    </row>
    <row r="34" spans="1:15" ht="20.100000000000001" customHeight="1">
      <c r="A34" s="83">
        <v>30536302</v>
      </c>
      <c r="B34" s="283" t="s">
        <v>391</v>
      </c>
      <c r="C34" s="284"/>
      <c r="D34" s="284"/>
      <c r="E34" s="284"/>
      <c r="F34" s="285" t="s">
        <v>464</v>
      </c>
      <c r="G34" s="285"/>
      <c r="H34" s="285"/>
      <c r="I34" s="285"/>
      <c r="J34" s="285"/>
      <c r="K34" s="285"/>
      <c r="L34" s="285"/>
      <c r="M34" s="285"/>
      <c r="N34" s="285"/>
      <c r="O34" s="285"/>
    </row>
    <row r="35" spans="1:15" ht="20.100000000000001" customHeight="1">
      <c r="A35" s="83"/>
      <c r="B35" s="283"/>
      <c r="C35" s="284"/>
      <c r="D35" s="284"/>
      <c r="E35" s="284"/>
      <c r="F35" s="285"/>
      <c r="G35" s="285"/>
      <c r="H35" s="285"/>
      <c r="I35" s="285"/>
      <c r="J35" s="285"/>
      <c r="K35" s="285"/>
      <c r="L35" s="285"/>
      <c r="M35" s="285"/>
      <c r="N35" s="285"/>
      <c r="O35" s="285"/>
    </row>
    <row r="36" spans="1:15" ht="20.100000000000001" customHeight="1">
      <c r="A36" s="7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21.95" customHeight="1">
      <c r="A37" s="270" t="s">
        <v>159</v>
      </c>
      <c r="B37" s="270"/>
      <c r="C37" s="270"/>
      <c r="D37" s="270"/>
      <c r="E37" s="270"/>
      <c r="F37" s="270"/>
      <c r="G37" s="270"/>
      <c r="H37" s="270"/>
      <c r="I37" s="270"/>
      <c r="J37" s="270"/>
    </row>
    <row r="38" spans="1:15" ht="20.100000000000001" customHeight="1">
      <c r="A38" s="20"/>
    </row>
    <row r="39" spans="1:15" ht="63.95" customHeight="1">
      <c r="A39" s="207" t="s">
        <v>297</v>
      </c>
      <c r="B39" s="219" t="s">
        <v>189</v>
      </c>
      <c r="C39" s="221"/>
      <c r="D39" s="202" t="s">
        <v>465</v>
      </c>
      <c r="E39" s="202"/>
      <c r="F39" s="202"/>
      <c r="G39" s="202" t="s">
        <v>466</v>
      </c>
      <c r="H39" s="202"/>
      <c r="I39" s="202"/>
      <c r="J39" s="219" t="s">
        <v>468</v>
      </c>
      <c r="K39" s="220"/>
      <c r="L39" s="221"/>
      <c r="M39" s="202" t="s">
        <v>467</v>
      </c>
      <c r="N39" s="202"/>
      <c r="O39" s="202"/>
    </row>
    <row r="40" spans="1:15" ht="153.75" customHeight="1">
      <c r="A40" s="208"/>
      <c r="B40" s="7" t="s">
        <v>57</v>
      </c>
      <c r="C40" s="7" t="s">
        <v>58</v>
      </c>
      <c r="D40" s="7" t="s">
        <v>368</v>
      </c>
      <c r="E40" s="7" t="s">
        <v>190</v>
      </c>
      <c r="F40" s="7" t="s">
        <v>369</v>
      </c>
      <c r="G40" s="7" t="s">
        <v>368</v>
      </c>
      <c r="H40" s="7" t="s">
        <v>190</v>
      </c>
      <c r="I40" s="7" t="s">
        <v>369</v>
      </c>
      <c r="J40" s="7" t="s">
        <v>368</v>
      </c>
      <c r="K40" s="7" t="s">
        <v>190</v>
      </c>
      <c r="L40" s="7" t="s">
        <v>369</v>
      </c>
      <c r="M40" s="7" t="s">
        <v>368</v>
      </c>
      <c r="N40" s="7" t="s">
        <v>190</v>
      </c>
      <c r="O40" s="7" t="s">
        <v>369</v>
      </c>
    </row>
    <row r="41" spans="1:15" ht="18" customHeight="1">
      <c r="A41" s="7">
        <v>1</v>
      </c>
      <c r="B41" s="7">
        <v>2</v>
      </c>
      <c r="C41" s="7">
        <v>3</v>
      </c>
      <c r="D41" s="7">
        <v>4</v>
      </c>
      <c r="E41" s="7">
        <v>5</v>
      </c>
      <c r="F41" s="7">
        <v>6</v>
      </c>
      <c r="G41" s="7">
        <v>7</v>
      </c>
      <c r="H41" s="6">
        <v>8</v>
      </c>
      <c r="I41" s="6">
        <v>9</v>
      </c>
      <c r="J41" s="6">
        <v>10</v>
      </c>
      <c r="K41" s="6">
        <v>11</v>
      </c>
      <c r="L41" s="6">
        <v>12</v>
      </c>
      <c r="M41" s="6">
        <v>13</v>
      </c>
      <c r="N41" s="6">
        <v>14</v>
      </c>
      <c r="O41" s="6">
        <v>15</v>
      </c>
    </row>
    <row r="42" spans="1:15" ht="20.100000000000001" customHeight="1">
      <c r="A42" s="152">
        <v>35.299999999999997</v>
      </c>
      <c r="B42" s="12">
        <v>100</v>
      </c>
      <c r="C42" s="12">
        <v>100</v>
      </c>
      <c r="D42" s="90">
        <f>'Осн. фін. пок.'!C9</f>
        <v>42539</v>
      </c>
      <c r="E42" s="90"/>
      <c r="F42" s="92"/>
      <c r="G42" s="90">
        <f>'Осн. фін. пок.'!D9</f>
        <v>54140</v>
      </c>
      <c r="H42" s="90"/>
      <c r="I42" s="92"/>
      <c r="J42" s="90">
        <v>24771</v>
      </c>
      <c r="K42" s="90"/>
      <c r="L42" s="92"/>
      <c r="M42" s="90">
        <f>'Осн. фін. пок.'!F9</f>
        <v>95891</v>
      </c>
      <c r="N42" s="90"/>
      <c r="O42" s="92"/>
    </row>
    <row r="43" spans="1:15" ht="20.100000000000001" customHeight="1">
      <c r="A43" s="8"/>
      <c r="B43" s="12"/>
      <c r="C43" s="12"/>
      <c r="D43" s="90"/>
      <c r="E43" s="90"/>
      <c r="F43" s="92"/>
      <c r="G43" s="90"/>
      <c r="H43" s="90"/>
      <c r="I43" s="92"/>
      <c r="J43" s="90"/>
      <c r="K43" s="90"/>
      <c r="L43" s="92"/>
      <c r="M43" s="90"/>
      <c r="N43" s="90"/>
      <c r="O43" s="92"/>
    </row>
    <row r="44" spans="1:15" ht="20.100000000000001" customHeight="1">
      <c r="A44" s="10" t="s">
        <v>41</v>
      </c>
      <c r="B44" s="114">
        <v>100</v>
      </c>
      <c r="C44" s="114">
        <v>100</v>
      </c>
      <c r="D44" s="133">
        <f>SUM(D42:D43)</f>
        <v>42539</v>
      </c>
      <c r="E44" s="91"/>
      <c r="F44" s="93"/>
      <c r="G44" s="133">
        <f>SUM(G42:G43)</f>
        <v>54140</v>
      </c>
      <c r="H44" s="91"/>
      <c r="I44" s="93"/>
      <c r="J44" s="133">
        <f>SUM(J42:J43)</f>
        <v>24771</v>
      </c>
      <c r="K44" s="91"/>
      <c r="L44" s="93"/>
      <c r="M44" s="133">
        <f>SUM(M42:M43)</f>
        <v>95891</v>
      </c>
      <c r="N44" s="91"/>
      <c r="O44" s="93"/>
    </row>
    <row r="45" spans="1:15" ht="20.100000000000001" customHeight="1">
      <c r="A45" s="22"/>
      <c r="B45" s="23"/>
      <c r="C45" s="23"/>
      <c r="D45" s="23"/>
      <c r="E45" s="23"/>
      <c r="F45" s="13"/>
      <c r="G45" s="13"/>
      <c r="H45" s="13"/>
      <c r="I45" s="5"/>
      <c r="J45" s="5"/>
      <c r="K45" s="5"/>
      <c r="L45" s="5"/>
      <c r="M45" s="5"/>
      <c r="N45" s="5"/>
      <c r="O45" s="5"/>
    </row>
    <row r="46" spans="1:15" ht="21.95" customHeight="1">
      <c r="A46" s="269" t="s">
        <v>59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</row>
    <row r="47" spans="1:15" ht="20.100000000000001" customHeight="1">
      <c r="A47" s="20"/>
    </row>
    <row r="48" spans="1:15" ht="63.95" customHeight="1">
      <c r="A48" s="7" t="s">
        <v>101</v>
      </c>
      <c r="B48" s="202" t="s">
        <v>55</v>
      </c>
      <c r="C48" s="202"/>
      <c r="D48" s="202" t="s">
        <v>50</v>
      </c>
      <c r="E48" s="202"/>
      <c r="F48" s="202" t="s">
        <v>51</v>
      </c>
      <c r="G48" s="202"/>
      <c r="H48" s="202" t="s">
        <v>191</v>
      </c>
      <c r="I48" s="202"/>
      <c r="J48" s="202"/>
      <c r="K48" s="219" t="s">
        <v>73</v>
      </c>
      <c r="L48" s="221"/>
      <c r="M48" s="219" t="s">
        <v>20</v>
      </c>
      <c r="N48" s="220"/>
      <c r="O48" s="221"/>
    </row>
    <row r="49" spans="1:15" ht="18" customHeight="1">
      <c r="A49" s="6">
        <v>1</v>
      </c>
      <c r="B49" s="216">
        <v>2</v>
      </c>
      <c r="C49" s="216"/>
      <c r="D49" s="216">
        <v>3</v>
      </c>
      <c r="E49" s="216"/>
      <c r="F49" s="277">
        <v>4</v>
      </c>
      <c r="G49" s="277"/>
      <c r="H49" s="216">
        <v>5</v>
      </c>
      <c r="I49" s="216"/>
      <c r="J49" s="216"/>
      <c r="K49" s="216">
        <v>6</v>
      </c>
      <c r="L49" s="216"/>
      <c r="M49" s="279">
        <v>7</v>
      </c>
      <c r="N49" s="280"/>
      <c r="O49" s="281"/>
    </row>
    <row r="50" spans="1:15" ht="20.100000000000001" customHeight="1">
      <c r="A50" s="8"/>
      <c r="B50" s="276" t="s">
        <v>469</v>
      </c>
      <c r="C50" s="276"/>
      <c r="D50" s="262" t="s">
        <v>469</v>
      </c>
      <c r="E50" s="262"/>
      <c r="F50" s="278" t="s">
        <v>469</v>
      </c>
      <c r="G50" s="278"/>
      <c r="H50" s="202" t="s">
        <v>469</v>
      </c>
      <c r="I50" s="202"/>
      <c r="J50" s="202"/>
      <c r="K50" s="252" t="s">
        <v>469</v>
      </c>
      <c r="L50" s="253"/>
      <c r="M50" s="276" t="s">
        <v>469</v>
      </c>
      <c r="N50" s="276"/>
      <c r="O50" s="276"/>
    </row>
    <row r="51" spans="1:15" ht="20.100000000000001" customHeight="1">
      <c r="A51" s="8"/>
      <c r="B51" s="266" t="s">
        <v>469</v>
      </c>
      <c r="C51" s="268"/>
      <c r="D51" s="252" t="s">
        <v>469</v>
      </c>
      <c r="E51" s="253"/>
      <c r="F51" s="274" t="s">
        <v>469</v>
      </c>
      <c r="G51" s="275"/>
      <c r="H51" s="219" t="s">
        <v>469</v>
      </c>
      <c r="I51" s="220"/>
      <c r="J51" s="221"/>
      <c r="K51" s="252" t="s">
        <v>469</v>
      </c>
      <c r="L51" s="253"/>
      <c r="M51" s="266" t="s">
        <v>469</v>
      </c>
      <c r="N51" s="267"/>
      <c r="O51" s="268"/>
    </row>
    <row r="52" spans="1:15" ht="20.100000000000001" customHeight="1">
      <c r="A52" s="8"/>
      <c r="B52" s="266" t="s">
        <v>469</v>
      </c>
      <c r="C52" s="268"/>
      <c r="D52" s="252" t="s">
        <v>469</v>
      </c>
      <c r="E52" s="253"/>
      <c r="F52" s="274" t="s">
        <v>469</v>
      </c>
      <c r="G52" s="275"/>
      <c r="H52" s="219" t="s">
        <v>469</v>
      </c>
      <c r="I52" s="220"/>
      <c r="J52" s="221"/>
      <c r="K52" s="252" t="s">
        <v>469</v>
      </c>
      <c r="L52" s="253"/>
      <c r="M52" s="266" t="s">
        <v>469</v>
      </c>
      <c r="N52" s="267"/>
      <c r="O52" s="268"/>
    </row>
    <row r="53" spans="1:15" ht="20.100000000000001" customHeight="1">
      <c r="A53" s="10" t="s">
        <v>41</v>
      </c>
      <c r="B53" s="217" t="s">
        <v>21</v>
      </c>
      <c r="C53" s="217"/>
      <c r="D53" s="217" t="s">
        <v>21</v>
      </c>
      <c r="E53" s="217"/>
      <c r="F53" s="217" t="s">
        <v>21</v>
      </c>
      <c r="G53" s="217"/>
      <c r="H53" s="217" t="s">
        <v>469</v>
      </c>
      <c r="I53" s="217"/>
      <c r="J53" s="217"/>
      <c r="K53" s="263">
        <f>SUM(K50:K52)</f>
        <v>0</v>
      </c>
      <c r="L53" s="264"/>
      <c r="M53" s="261" t="s">
        <v>469</v>
      </c>
      <c r="N53" s="261"/>
      <c r="O53" s="261"/>
    </row>
    <row r="54" spans="1:15" ht="20.100000000000001" customHeight="1">
      <c r="A54" s="13"/>
      <c r="B54" s="26"/>
      <c r="C54" s="26"/>
      <c r="D54" s="26"/>
      <c r="E54" s="26"/>
      <c r="F54" s="26"/>
      <c r="G54" s="26"/>
      <c r="H54" s="26"/>
      <c r="I54" s="26"/>
      <c r="J54" s="26"/>
      <c r="K54" s="3"/>
      <c r="L54" s="3"/>
      <c r="M54" s="3"/>
      <c r="N54" s="3"/>
      <c r="O54" s="3"/>
    </row>
    <row r="55" spans="1:15" ht="21.95" customHeight="1">
      <c r="A55" s="269" t="s">
        <v>60</v>
      </c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1:15" ht="20.100000000000001" customHeight="1">
      <c r="A56" s="5"/>
      <c r="B56" s="18"/>
      <c r="C56" s="5"/>
      <c r="D56" s="5"/>
      <c r="E56" s="5"/>
      <c r="F56" s="5"/>
      <c r="G56" s="5"/>
      <c r="H56" s="5"/>
      <c r="I56" s="17"/>
    </row>
    <row r="57" spans="1:15" ht="63.95" customHeight="1">
      <c r="A57" s="202" t="s">
        <v>49</v>
      </c>
      <c r="B57" s="202"/>
      <c r="C57" s="202"/>
      <c r="D57" s="202" t="s">
        <v>470</v>
      </c>
      <c r="E57" s="202"/>
      <c r="F57" s="202"/>
      <c r="G57" s="202" t="s">
        <v>210</v>
      </c>
      <c r="H57" s="202"/>
      <c r="I57" s="202"/>
      <c r="J57" s="202" t="s">
        <v>208</v>
      </c>
      <c r="K57" s="202"/>
      <c r="L57" s="202"/>
      <c r="M57" s="202" t="s">
        <v>471</v>
      </c>
      <c r="N57" s="202"/>
      <c r="O57" s="202"/>
    </row>
    <row r="58" spans="1:15" ht="18" customHeight="1">
      <c r="A58" s="202">
        <v>1</v>
      </c>
      <c r="B58" s="202"/>
      <c r="C58" s="202"/>
      <c r="D58" s="202">
        <v>2</v>
      </c>
      <c r="E58" s="202"/>
      <c r="F58" s="202"/>
      <c r="G58" s="202">
        <v>3</v>
      </c>
      <c r="H58" s="202"/>
      <c r="I58" s="202"/>
      <c r="J58" s="216">
        <v>4</v>
      </c>
      <c r="K58" s="216"/>
      <c r="L58" s="216"/>
      <c r="M58" s="216">
        <v>5</v>
      </c>
      <c r="N58" s="216"/>
      <c r="O58" s="216"/>
    </row>
    <row r="59" spans="1:15" ht="20.100000000000001" customHeight="1">
      <c r="A59" s="265" t="s">
        <v>192</v>
      </c>
      <c r="B59" s="265"/>
      <c r="C59" s="265"/>
      <c r="D59" s="262"/>
      <c r="E59" s="262"/>
      <c r="F59" s="262"/>
      <c r="G59" s="262"/>
      <c r="H59" s="262"/>
      <c r="I59" s="262"/>
      <c r="J59" s="262"/>
      <c r="K59" s="262"/>
      <c r="L59" s="262"/>
      <c r="M59" s="272">
        <f>D59+G59-J59</f>
        <v>0</v>
      </c>
      <c r="N59" s="272"/>
      <c r="O59" s="272"/>
    </row>
    <row r="60" spans="1:15" ht="20.100000000000001" customHeight="1">
      <c r="A60" s="265" t="s">
        <v>85</v>
      </c>
      <c r="B60" s="265"/>
      <c r="C60" s="265"/>
      <c r="D60" s="257" t="s">
        <v>469</v>
      </c>
      <c r="E60" s="257"/>
      <c r="F60" s="257"/>
      <c r="G60" s="257" t="s">
        <v>469</v>
      </c>
      <c r="H60" s="257"/>
      <c r="I60" s="257"/>
      <c r="J60" s="257" t="s">
        <v>469</v>
      </c>
      <c r="K60" s="257"/>
      <c r="L60" s="257"/>
      <c r="M60" s="257" t="s">
        <v>469</v>
      </c>
      <c r="N60" s="257"/>
      <c r="O60" s="257"/>
    </row>
    <row r="61" spans="1:15" ht="20.100000000000001" customHeight="1">
      <c r="A61" s="265"/>
      <c r="B61" s="265"/>
      <c r="C61" s="265"/>
      <c r="D61" s="258"/>
      <c r="E61" s="259"/>
      <c r="F61" s="260"/>
      <c r="G61" s="258"/>
      <c r="H61" s="259"/>
      <c r="I61" s="260"/>
      <c r="J61" s="258"/>
      <c r="K61" s="259"/>
      <c r="L61" s="260"/>
      <c r="M61" s="252"/>
      <c r="N61" s="273"/>
      <c r="O61" s="253"/>
    </row>
    <row r="62" spans="1:15" ht="20.100000000000001" customHeight="1">
      <c r="A62" s="265" t="s">
        <v>193</v>
      </c>
      <c r="B62" s="265"/>
      <c r="C62" s="265"/>
      <c r="D62" s="257"/>
      <c r="E62" s="257"/>
      <c r="F62" s="257"/>
      <c r="G62" s="257"/>
      <c r="H62" s="257"/>
      <c r="I62" s="257"/>
      <c r="J62" s="257"/>
      <c r="K62" s="257"/>
      <c r="L62" s="257"/>
      <c r="M62" s="272">
        <f>D62+G62-J62</f>
        <v>0</v>
      </c>
      <c r="N62" s="272"/>
      <c r="O62" s="272"/>
    </row>
    <row r="63" spans="1:15" ht="20.100000000000001" customHeight="1">
      <c r="A63" s="265" t="s">
        <v>86</v>
      </c>
      <c r="B63" s="265"/>
      <c r="C63" s="265"/>
      <c r="D63" s="257" t="s">
        <v>469</v>
      </c>
      <c r="E63" s="257"/>
      <c r="F63" s="257"/>
      <c r="G63" s="257" t="s">
        <v>469</v>
      </c>
      <c r="H63" s="257"/>
      <c r="I63" s="257"/>
      <c r="J63" s="257" t="s">
        <v>469</v>
      </c>
      <c r="K63" s="257"/>
      <c r="L63" s="257"/>
      <c r="M63" s="257" t="s">
        <v>469</v>
      </c>
      <c r="N63" s="257"/>
      <c r="O63" s="257"/>
    </row>
    <row r="64" spans="1:15" ht="20.100000000000001" customHeight="1">
      <c r="A64" s="265"/>
      <c r="B64" s="265"/>
      <c r="C64" s="265"/>
      <c r="D64" s="258"/>
      <c r="E64" s="259"/>
      <c r="F64" s="260"/>
      <c r="G64" s="258"/>
      <c r="H64" s="259"/>
      <c r="I64" s="260"/>
      <c r="J64" s="258"/>
      <c r="K64" s="259"/>
      <c r="L64" s="260"/>
      <c r="M64" s="252"/>
      <c r="N64" s="273"/>
      <c r="O64" s="253"/>
    </row>
    <row r="65" spans="1:15" ht="20.100000000000001" customHeight="1">
      <c r="A65" s="265" t="s">
        <v>194</v>
      </c>
      <c r="B65" s="265"/>
      <c r="C65" s="265"/>
      <c r="D65" s="257"/>
      <c r="E65" s="257"/>
      <c r="F65" s="257"/>
      <c r="G65" s="257"/>
      <c r="H65" s="257"/>
      <c r="I65" s="257"/>
      <c r="J65" s="257"/>
      <c r="K65" s="257"/>
      <c r="L65" s="257"/>
      <c r="M65" s="272">
        <f>D65+G65-J65</f>
        <v>0</v>
      </c>
      <c r="N65" s="272"/>
      <c r="O65" s="272"/>
    </row>
    <row r="66" spans="1:15" ht="20.100000000000001" customHeight="1">
      <c r="A66" s="265" t="s">
        <v>85</v>
      </c>
      <c r="B66" s="265"/>
      <c r="C66" s="265"/>
      <c r="D66" s="257" t="s">
        <v>469</v>
      </c>
      <c r="E66" s="257"/>
      <c r="F66" s="257"/>
      <c r="G66" s="257" t="s">
        <v>469</v>
      </c>
      <c r="H66" s="257"/>
      <c r="I66" s="257"/>
      <c r="J66" s="257" t="s">
        <v>469</v>
      </c>
      <c r="K66" s="257"/>
      <c r="L66" s="257"/>
      <c r="M66" s="257" t="s">
        <v>469</v>
      </c>
      <c r="N66" s="257"/>
      <c r="O66" s="257"/>
    </row>
    <row r="67" spans="1:15" ht="20.100000000000001" customHeight="1">
      <c r="A67" s="254"/>
      <c r="B67" s="255"/>
      <c r="C67" s="256"/>
      <c r="D67" s="257"/>
      <c r="E67" s="257"/>
      <c r="F67" s="257"/>
      <c r="G67" s="257"/>
      <c r="H67" s="257"/>
      <c r="I67" s="257"/>
      <c r="J67" s="257"/>
      <c r="K67" s="257"/>
      <c r="L67" s="257"/>
      <c r="M67" s="262"/>
      <c r="N67" s="262"/>
      <c r="O67" s="262"/>
    </row>
    <row r="68" spans="1:15" ht="20.100000000000001" customHeight="1">
      <c r="A68" s="228" t="s">
        <v>41</v>
      </c>
      <c r="B68" s="229"/>
      <c r="C68" s="230"/>
      <c r="D68" s="271">
        <f>SUM(D59,D62,D65)</f>
        <v>0</v>
      </c>
      <c r="E68" s="271"/>
      <c r="F68" s="271"/>
      <c r="G68" s="271">
        <f>SUM(G59,G62,G65)</f>
        <v>0</v>
      </c>
      <c r="H68" s="271"/>
      <c r="I68" s="271"/>
      <c r="J68" s="271">
        <f>SUM(J59,J62,J65)</f>
        <v>0</v>
      </c>
      <c r="K68" s="271"/>
      <c r="L68" s="271"/>
      <c r="M68" s="271">
        <f>D68+G68-J68</f>
        <v>0</v>
      </c>
      <c r="N68" s="271"/>
      <c r="O68" s="271"/>
    </row>
    <row r="69" spans="1:15">
      <c r="C69" s="31"/>
      <c r="D69" s="31"/>
      <c r="E69" s="31"/>
    </row>
    <row r="70" spans="1:15">
      <c r="C70" s="31"/>
      <c r="D70" s="31"/>
      <c r="E70" s="31"/>
    </row>
    <row r="71" spans="1:15">
      <c r="C71" s="31"/>
      <c r="D71" s="31"/>
      <c r="E71" s="31"/>
    </row>
    <row r="72" spans="1:15">
      <c r="C72" s="31"/>
      <c r="D72" s="31"/>
      <c r="E72" s="31"/>
    </row>
    <row r="73" spans="1:15">
      <c r="C73" s="31"/>
      <c r="D73" s="31"/>
      <c r="E73" s="31"/>
    </row>
    <row r="74" spans="1:15">
      <c r="C74" s="31"/>
      <c r="D74" s="31"/>
      <c r="E74" s="31"/>
    </row>
    <row r="75" spans="1:15">
      <c r="C75" s="31"/>
      <c r="D75" s="31"/>
      <c r="E75" s="31"/>
    </row>
    <row r="76" spans="1:15">
      <c r="C76" s="31"/>
      <c r="D76" s="31"/>
      <c r="E76" s="31"/>
    </row>
    <row r="77" spans="1:15">
      <c r="C77" s="31"/>
      <c r="D77" s="31"/>
      <c r="E77" s="31"/>
    </row>
    <row r="78" spans="1:15">
      <c r="C78" s="31"/>
      <c r="D78" s="31"/>
      <c r="E78" s="31"/>
    </row>
    <row r="79" spans="1:15">
      <c r="C79" s="31"/>
      <c r="D79" s="31"/>
      <c r="E79" s="31"/>
    </row>
    <row r="80" spans="1:15">
      <c r="C80" s="31"/>
      <c r="D80" s="31"/>
      <c r="E80" s="31"/>
    </row>
    <row r="81" spans="3:5">
      <c r="C81" s="31"/>
      <c r="D81" s="31"/>
      <c r="E81" s="31"/>
    </row>
    <row r="82" spans="3:5">
      <c r="C82" s="31"/>
      <c r="D82" s="31"/>
      <c r="E82" s="31"/>
    </row>
  </sheetData>
  <mergeCells count="247">
    <mergeCell ref="A12:C12"/>
    <mergeCell ref="D12:E12"/>
    <mergeCell ref="D11:E11"/>
    <mergeCell ref="H12:I12"/>
    <mergeCell ref="F12:G12"/>
    <mergeCell ref="A1:O1"/>
    <mergeCell ref="A2:O2"/>
    <mergeCell ref="A3:O3"/>
    <mergeCell ref="D9:E9"/>
    <mergeCell ref="F9:G9"/>
    <mergeCell ref="A5:O5"/>
    <mergeCell ref="A9:C9"/>
    <mergeCell ref="A4:O4"/>
    <mergeCell ref="A7:O7"/>
    <mergeCell ref="J9:K9"/>
    <mergeCell ref="H10:I10"/>
    <mergeCell ref="N9:O9"/>
    <mergeCell ref="N10:O10"/>
    <mergeCell ref="H9:I9"/>
    <mergeCell ref="L9:M9"/>
    <mergeCell ref="F14:G14"/>
    <mergeCell ref="J14:K14"/>
    <mergeCell ref="H14:I14"/>
    <mergeCell ref="D14:E14"/>
    <mergeCell ref="A13:C13"/>
    <mergeCell ref="D13:E13"/>
    <mergeCell ref="F13:G13"/>
    <mergeCell ref="H13:I13"/>
    <mergeCell ref="A14:C14"/>
    <mergeCell ref="L12:M12"/>
    <mergeCell ref="N12:O12"/>
    <mergeCell ref="J16:K16"/>
    <mergeCell ref="N15:O15"/>
    <mergeCell ref="L16:M16"/>
    <mergeCell ref="J15:K15"/>
    <mergeCell ref="N14:O14"/>
    <mergeCell ref="L13:M13"/>
    <mergeCell ref="J13:K13"/>
    <mergeCell ref="N13:O13"/>
    <mergeCell ref="A15:C15"/>
    <mergeCell ref="H16:I16"/>
    <mergeCell ref="H15:I15"/>
    <mergeCell ref="D15:E15"/>
    <mergeCell ref="A16:C16"/>
    <mergeCell ref="F15:G15"/>
    <mergeCell ref="D16:E16"/>
    <mergeCell ref="F16:G16"/>
    <mergeCell ref="N16:O16"/>
    <mergeCell ref="F19:G19"/>
    <mergeCell ref="H19:I19"/>
    <mergeCell ref="J19:K19"/>
    <mergeCell ref="A10:C10"/>
    <mergeCell ref="H11:I11"/>
    <mergeCell ref="H18:I18"/>
    <mergeCell ref="A19:C19"/>
    <mergeCell ref="D19:E19"/>
    <mergeCell ref="J12:K12"/>
    <mergeCell ref="L11:M11"/>
    <mergeCell ref="J10:K10"/>
    <mergeCell ref="D10:E10"/>
    <mergeCell ref="F10:G10"/>
    <mergeCell ref="J11:K11"/>
    <mergeCell ref="F11:G11"/>
    <mergeCell ref="B35:E35"/>
    <mergeCell ref="F35:O35"/>
    <mergeCell ref="L10:M10"/>
    <mergeCell ref="L15:M15"/>
    <mergeCell ref="L14:M14"/>
    <mergeCell ref="B34:E34"/>
    <mergeCell ref="F34:O34"/>
    <mergeCell ref="A11:C11"/>
    <mergeCell ref="D17:E17"/>
    <mergeCell ref="N11:O11"/>
    <mergeCell ref="F33:O33"/>
    <mergeCell ref="B33:E33"/>
    <mergeCell ref="F32:O32"/>
    <mergeCell ref="H17:I17"/>
    <mergeCell ref="D18:E18"/>
    <mergeCell ref="F17:G17"/>
    <mergeCell ref="L17:M17"/>
    <mergeCell ref="L18:M18"/>
    <mergeCell ref="F18:G18"/>
    <mergeCell ref="N17:O17"/>
    <mergeCell ref="A17:C17"/>
    <mergeCell ref="A18:C18"/>
    <mergeCell ref="B32:E32"/>
    <mergeCell ref="A30:O30"/>
    <mergeCell ref="A28:O28"/>
    <mergeCell ref="N18:O18"/>
    <mergeCell ref="L19:M19"/>
    <mergeCell ref="J17:K17"/>
    <mergeCell ref="A20:C20"/>
    <mergeCell ref="J18:K18"/>
    <mergeCell ref="B39:C39"/>
    <mergeCell ref="D39:F39"/>
    <mergeCell ref="G39:I39"/>
    <mergeCell ref="J39:L39"/>
    <mergeCell ref="M39:O39"/>
    <mergeCell ref="A39:A40"/>
    <mergeCell ref="F50:G50"/>
    <mergeCell ref="M48:O48"/>
    <mergeCell ref="K49:L49"/>
    <mergeCell ref="M49:O49"/>
    <mergeCell ref="A46:O46"/>
    <mergeCell ref="B48:C48"/>
    <mergeCell ref="D48:E48"/>
    <mergeCell ref="F48:G48"/>
    <mergeCell ref="H48:J48"/>
    <mergeCell ref="K48:L48"/>
    <mergeCell ref="F52:G52"/>
    <mergeCell ref="M50:O50"/>
    <mergeCell ref="B49:C49"/>
    <mergeCell ref="F49:G49"/>
    <mergeCell ref="H49:J49"/>
    <mergeCell ref="B50:C50"/>
    <mergeCell ref="H50:J50"/>
    <mergeCell ref="K50:L50"/>
    <mergeCell ref="D49:E49"/>
    <mergeCell ref="D50:E50"/>
    <mergeCell ref="M59:O59"/>
    <mergeCell ref="D59:F59"/>
    <mergeCell ref="G57:I57"/>
    <mergeCell ref="J57:L57"/>
    <mergeCell ref="H51:J51"/>
    <mergeCell ref="B52:C52"/>
    <mergeCell ref="B51:C51"/>
    <mergeCell ref="D51:E51"/>
    <mergeCell ref="F51:G51"/>
    <mergeCell ref="D52:E52"/>
    <mergeCell ref="M62:O62"/>
    <mergeCell ref="J62:L62"/>
    <mergeCell ref="J60:L60"/>
    <mergeCell ref="M60:O60"/>
    <mergeCell ref="M61:O61"/>
    <mergeCell ref="J61:L61"/>
    <mergeCell ref="J63:L63"/>
    <mergeCell ref="M63:O63"/>
    <mergeCell ref="M64:O64"/>
    <mergeCell ref="M67:O67"/>
    <mergeCell ref="J66:L66"/>
    <mergeCell ref="J65:L65"/>
    <mergeCell ref="J64:L64"/>
    <mergeCell ref="M68:O68"/>
    <mergeCell ref="M66:O66"/>
    <mergeCell ref="M65:O65"/>
    <mergeCell ref="J67:L67"/>
    <mergeCell ref="G63:I63"/>
    <mergeCell ref="A62:C62"/>
    <mergeCell ref="A63:C63"/>
    <mergeCell ref="D63:F63"/>
    <mergeCell ref="G62:I62"/>
    <mergeCell ref="D62:F62"/>
    <mergeCell ref="A64:C64"/>
    <mergeCell ref="D64:F64"/>
    <mergeCell ref="G64:I64"/>
    <mergeCell ref="A65:C65"/>
    <mergeCell ref="D65:F65"/>
    <mergeCell ref="G65:I65"/>
    <mergeCell ref="A67:C67"/>
    <mergeCell ref="D67:F67"/>
    <mergeCell ref="G67:I67"/>
    <mergeCell ref="A66:C66"/>
    <mergeCell ref="G66:I66"/>
    <mergeCell ref="D66:F66"/>
    <mergeCell ref="A68:C68"/>
    <mergeCell ref="D68:F68"/>
    <mergeCell ref="G68:I68"/>
    <mergeCell ref="J68:L68"/>
    <mergeCell ref="N20:O20"/>
    <mergeCell ref="L20:M20"/>
    <mergeCell ref="H20:I20"/>
    <mergeCell ref="J20:K20"/>
    <mergeCell ref="J58:L58"/>
    <mergeCell ref="K52:L52"/>
    <mergeCell ref="N19:O19"/>
    <mergeCell ref="F20:G20"/>
    <mergeCell ref="F26:G26"/>
    <mergeCell ref="M51:O51"/>
    <mergeCell ref="A37:J37"/>
    <mergeCell ref="N22:O22"/>
    <mergeCell ref="A21:C21"/>
    <mergeCell ref="D21:E21"/>
    <mergeCell ref="F21:G21"/>
    <mergeCell ref="H21:I21"/>
    <mergeCell ref="M52:O52"/>
    <mergeCell ref="K51:L51"/>
    <mergeCell ref="H52:J52"/>
    <mergeCell ref="G58:I58"/>
    <mergeCell ref="F53:G53"/>
    <mergeCell ref="A55:O55"/>
    <mergeCell ref="A57:C57"/>
    <mergeCell ref="D57:F57"/>
    <mergeCell ref="D58:F58"/>
    <mergeCell ref="M58:O58"/>
    <mergeCell ref="A61:C61"/>
    <mergeCell ref="A60:C60"/>
    <mergeCell ref="D20:E20"/>
    <mergeCell ref="A59:C59"/>
    <mergeCell ref="A58:C58"/>
    <mergeCell ref="B53:C53"/>
    <mergeCell ref="D53:E53"/>
    <mergeCell ref="A26:C26"/>
    <mergeCell ref="D26:E26"/>
    <mergeCell ref="A25:C25"/>
    <mergeCell ref="G60:I60"/>
    <mergeCell ref="D61:F61"/>
    <mergeCell ref="G61:I61"/>
    <mergeCell ref="M53:O53"/>
    <mergeCell ref="M57:O57"/>
    <mergeCell ref="D60:F60"/>
    <mergeCell ref="G59:I59"/>
    <mergeCell ref="K53:L53"/>
    <mergeCell ref="J59:L59"/>
    <mergeCell ref="H53:J53"/>
    <mergeCell ref="J21:K21"/>
    <mergeCell ref="L21:M21"/>
    <mergeCell ref="N21:O21"/>
    <mergeCell ref="A22:C22"/>
    <mergeCell ref="D22:E22"/>
    <mergeCell ref="A23:C23"/>
    <mergeCell ref="D23:E23"/>
    <mergeCell ref="L23:M23"/>
    <mergeCell ref="L22:M22"/>
    <mergeCell ref="J22:K22"/>
    <mergeCell ref="F22:G22"/>
    <mergeCell ref="H22:I22"/>
    <mergeCell ref="A24:C24"/>
    <mergeCell ref="D24:E24"/>
    <mergeCell ref="F24:G24"/>
    <mergeCell ref="H24:I24"/>
    <mergeCell ref="N23:O23"/>
    <mergeCell ref="J24:K24"/>
    <mergeCell ref="L24:M24"/>
    <mergeCell ref="N24:O24"/>
    <mergeCell ref="F23:G23"/>
    <mergeCell ref="H23:I23"/>
    <mergeCell ref="J23:K23"/>
    <mergeCell ref="D25:E25"/>
    <mergeCell ref="L26:M26"/>
    <mergeCell ref="J26:K26"/>
    <mergeCell ref="N26:O26"/>
    <mergeCell ref="J25:K25"/>
    <mergeCell ref="L25:M25"/>
    <mergeCell ref="N25:O25"/>
    <mergeCell ref="F25:G25"/>
    <mergeCell ref="H25:I25"/>
    <mergeCell ref="H26:I26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7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Таблиця 6
</oddHeader>
  </headerFooter>
  <rowBreaks count="1" manualBreakCount="1">
    <brk id="35" max="14" man="1"/>
  </rowBreaks>
  <ignoredErrors>
    <ignoredError sqref="L24:M26 G26:K26 D23 G23:K23 L12:M22 L23:M23 O11 L11:M11 N11 O12:O26 D25:D26 G24:K24 G25:K25 N13:N15 N17:N19 N21:N23 N25:N26" evalError="1"/>
    <ignoredError sqref="D44:G44 H44:J44 K44:M44 K5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6:D209"/>
  <sheetViews>
    <sheetView workbookViewId="0">
      <selection activeCell="A203" sqref="A203:C205"/>
    </sheetView>
  </sheetViews>
  <sheetFormatPr defaultRowHeight="12.75"/>
  <cols>
    <col min="1" max="1" width="54.5703125" customWidth="1"/>
    <col min="2" max="2" width="12" customWidth="1"/>
  </cols>
  <sheetData>
    <row r="6" spans="1:3" ht="16.5">
      <c r="A6" s="144" t="s">
        <v>427</v>
      </c>
      <c r="B6" s="144"/>
      <c r="C6" s="144"/>
    </row>
    <row r="7" spans="1:3" ht="16.5">
      <c r="A7" s="144" t="s">
        <v>483</v>
      </c>
      <c r="B7" s="144"/>
      <c r="C7" s="144"/>
    </row>
    <row r="8" spans="1:3" ht="16.5">
      <c r="A8" s="144"/>
      <c r="B8" s="186"/>
      <c r="C8" s="144"/>
    </row>
    <row r="9" spans="1:3" ht="16.5">
      <c r="A9" s="137" t="s">
        <v>453</v>
      </c>
      <c r="B9" s="139">
        <v>10894.044</v>
      </c>
      <c r="C9" s="144"/>
    </row>
    <row r="10" spans="1:3" ht="16.5">
      <c r="A10" s="137" t="s">
        <v>454</v>
      </c>
      <c r="B10" s="139">
        <v>22795.802</v>
      </c>
      <c r="C10" s="144"/>
    </row>
    <row r="11" spans="1:3" ht="15">
      <c r="A11" s="137" t="s">
        <v>428</v>
      </c>
      <c r="B11" s="139">
        <v>24.715</v>
      </c>
      <c r="C11" s="137"/>
    </row>
    <row r="12" spans="1:3" ht="15">
      <c r="A12" s="137" t="s">
        <v>429</v>
      </c>
      <c r="B12" s="139">
        <v>1.8560000000000001</v>
      </c>
      <c r="C12" s="137"/>
    </row>
    <row r="13" spans="1:3" ht="15">
      <c r="A13" s="137" t="s">
        <v>430</v>
      </c>
      <c r="B13" s="139">
        <v>22.765999999999998</v>
      </c>
      <c r="C13" s="137"/>
    </row>
    <row r="14" spans="1:3" ht="15">
      <c r="A14" s="137" t="s">
        <v>431</v>
      </c>
      <c r="B14" s="139">
        <v>338.96600000000001</v>
      </c>
      <c r="C14" s="137"/>
    </row>
    <row r="15" spans="1:3" ht="15">
      <c r="A15" s="137" t="s">
        <v>432</v>
      </c>
      <c r="B15" s="139">
        <v>595.66700000000003</v>
      </c>
      <c r="C15" s="137"/>
    </row>
    <row r="16" spans="1:3" ht="15">
      <c r="A16" s="137" t="s">
        <v>443</v>
      </c>
      <c r="B16" s="139">
        <v>463.97</v>
      </c>
      <c r="C16" s="137"/>
    </row>
    <row r="17" spans="1:3" ht="15">
      <c r="A17" s="137" t="s">
        <v>444</v>
      </c>
      <c r="B17" s="139">
        <v>60.292000000000002</v>
      </c>
      <c r="C17" s="137"/>
    </row>
    <row r="18" spans="1:3" ht="15">
      <c r="A18" s="137" t="s">
        <v>451</v>
      </c>
      <c r="B18" s="139">
        <v>56.841000000000001</v>
      </c>
      <c r="C18" s="137"/>
    </row>
    <row r="19" spans="1:3" ht="15">
      <c r="A19" s="137" t="s">
        <v>433</v>
      </c>
      <c r="B19" s="139">
        <v>-23.55</v>
      </c>
      <c r="C19" s="137"/>
    </row>
    <row r="20" spans="1:3" ht="15">
      <c r="A20" s="137" t="s">
        <v>434</v>
      </c>
      <c r="B20" s="139">
        <v>0.91300000000000003</v>
      </c>
      <c r="C20" s="137"/>
    </row>
    <row r="21" spans="1:3" ht="15">
      <c r="A21" s="137" t="s">
        <v>435</v>
      </c>
      <c r="B21" s="139">
        <v>9.3620000000000001</v>
      </c>
      <c r="C21" s="137"/>
    </row>
    <row r="22" spans="1:3" ht="15">
      <c r="A22" s="137" t="s">
        <v>436</v>
      </c>
      <c r="B22" s="139">
        <v>159.572</v>
      </c>
      <c r="C22" s="137"/>
    </row>
    <row r="23" spans="1:3" ht="15">
      <c r="A23" s="137" t="s">
        <v>437</v>
      </c>
      <c r="B23" s="139">
        <v>18.071000000000002</v>
      </c>
      <c r="C23" s="137"/>
    </row>
    <row r="24" spans="1:3" ht="15">
      <c r="A24" s="137" t="s">
        <v>438</v>
      </c>
      <c r="B24" s="139">
        <v>5.3979999999999997</v>
      </c>
      <c r="C24" s="137"/>
    </row>
    <row r="25" spans="1:3" ht="15">
      <c r="A25" s="137" t="s">
        <v>439</v>
      </c>
      <c r="B25" s="139">
        <v>18.026</v>
      </c>
      <c r="C25" s="137"/>
    </row>
    <row r="26" spans="1:3" ht="15">
      <c r="A26" s="137" t="s">
        <v>440</v>
      </c>
      <c r="B26" s="139">
        <v>20.917000000000002</v>
      </c>
      <c r="C26" s="137"/>
    </row>
    <row r="27" spans="1:3" ht="15">
      <c r="A27" s="137" t="s">
        <v>441</v>
      </c>
      <c r="B27" s="139">
        <v>1.752</v>
      </c>
      <c r="C27" s="137"/>
    </row>
    <row r="28" spans="1:3" ht="15">
      <c r="A28" s="137" t="s">
        <v>452</v>
      </c>
      <c r="B28" s="139">
        <v>1.498</v>
      </c>
      <c r="C28" s="137"/>
    </row>
    <row r="29" spans="1:3" ht="15">
      <c r="A29" s="137" t="s">
        <v>442</v>
      </c>
      <c r="B29" s="139">
        <v>3.74</v>
      </c>
      <c r="C29" s="137"/>
    </row>
    <row r="30" spans="1:3" ht="15">
      <c r="A30" s="137" t="s">
        <v>445</v>
      </c>
      <c r="B30" s="139">
        <v>0.63900000000000001</v>
      </c>
      <c r="C30" s="137"/>
    </row>
    <row r="31" spans="1:3" ht="15">
      <c r="A31" s="137" t="s">
        <v>446</v>
      </c>
      <c r="B31" s="139">
        <v>0.68200000000000005</v>
      </c>
      <c r="C31" s="137"/>
    </row>
    <row r="32" spans="1:3" ht="15">
      <c r="A32" s="137" t="s">
        <v>450</v>
      </c>
      <c r="B32" s="139">
        <v>-241.803</v>
      </c>
      <c r="C32" s="137"/>
    </row>
    <row r="33" spans="1:3" ht="15">
      <c r="A33" s="137" t="s">
        <v>447</v>
      </c>
      <c r="B33" s="139">
        <v>7.6950000000000003</v>
      </c>
      <c r="C33" s="137"/>
    </row>
    <row r="34" spans="1:3" ht="15">
      <c r="A34" s="137" t="s">
        <v>448</v>
      </c>
      <c r="B34" s="139">
        <v>90.13</v>
      </c>
      <c r="C34" s="137"/>
    </row>
    <row r="35" spans="1:3" ht="15">
      <c r="A35" s="137" t="s">
        <v>449</v>
      </c>
      <c r="B35" s="139">
        <v>0.996</v>
      </c>
      <c r="C35" s="137"/>
    </row>
    <row r="36" spans="1:3" ht="15.75">
      <c r="A36" s="140" t="s">
        <v>523</v>
      </c>
      <c r="B36" s="141">
        <f>SUM(B9:B35)</f>
        <v>35328.957000000002</v>
      </c>
      <c r="C36" s="137"/>
    </row>
    <row r="37" spans="1:3" ht="15">
      <c r="A37" s="137"/>
      <c r="B37" s="137"/>
      <c r="C37" s="137"/>
    </row>
    <row r="38" spans="1:3" ht="15">
      <c r="A38" s="137" t="s">
        <v>481</v>
      </c>
      <c r="B38" s="137" t="s">
        <v>482</v>
      </c>
      <c r="C38" s="137"/>
    </row>
    <row r="39" spans="1:3" ht="15">
      <c r="A39" s="137"/>
      <c r="B39" s="137"/>
      <c r="C39" s="137"/>
    </row>
    <row r="40" spans="1:3" ht="15">
      <c r="A40" s="184" t="s">
        <v>484</v>
      </c>
      <c r="B40" s="137"/>
      <c r="C40" s="137"/>
    </row>
    <row r="44" spans="1:3" ht="16.5">
      <c r="A44" s="144" t="s">
        <v>427</v>
      </c>
      <c r="B44" s="144"/>
      <c r="C44" s="144"/>
    </row>
    <row r="45" spans="1:3" ht="16.5">
      <c r="A45" s="144" t="s">
        <v>457</v>
      </c>
      <c r="B45" s="144"/>
      <c r="C45" s="144"/>
    </row>
    <row r="46" spans="1:3" ht="16.5">
      <c r="A46" s="144"/>
      <c r="B46" s="186"/>
      <c r="C46" s="144"/>
    </row>
    <row r="47" spans="1:3" ht="16.5">
      <c r="A47" s="137" t="s">
        <v>453</v>
      </c>
      <c r="B47" s="139">
        <v>12072</v>
      </c>
      <c r="C47" s="144"/>
    </row>
    <row r="48" spans="1:3" ht="16.5">
      <c r="A48" s="137" t="s">
        <v>454</v>
      </c>
      <c r="B48" s="139">
        <v>30441.599999999999</v>
      </c>
      <c r="C48" s="144"/>
    </row>
    <row r="49" spans="1:3" ht="15">
      <c r="A49" s="137" t="s">
        <v>428</v>
      </c>
      <c r="B49" s="139">
        <v>24.715</v>
      </c>
      <c r="C49" s="137"/>
    </row>
    <row r="50" spans="1:3" ht="15">
      <c r="A50" s="137" t="s">
        <v>429</v>
      </c>
      <c r="B50" s="139">
        <v>1.8560000000000001</v>
      </c>
      <c r="C50" s="137"/>
    </row>
    <row r="51" spans="1:3" ht="15">
      <c r="A51" s="137" t="s">
        <v>430</v>
      </c>
      <c r="B51" s="139">
        <v>22.765999999999998</v>
      </c>
      <c r="C51" s="137"/>
    </row>
    <row r="52" spans="1:3" ht="15">
      <c r="A52" s="137" t="s">
        <v>431</v>
      </c>
      <c r="B52" s="139">
        <v>508.44900000000001</v>
      </c>
      <c r="C52" s="137"/>
    </row>
    <row r="53" spans="1:3" ht="15">
      <c r="A53" s="137" t="s">
        <v>432</v>
      </c>
      <c r="B53" s="139">
        <v>1787.001</v>
      </c>
      <c r="C53" s="137"/>
    </row>
    <row r="54" spans="1:3" ht="15">
      <c r="A54" s="137" t="s">
        <v>443</v>
      </c>
      <c r="B54" s="139">
        <v>1391.91</v>
      </c>
      <c r="C54" s="137"/>
    </row>
    <row r="55" spans="1:3" ht="15">
      <c r="A55" s="137" t="s">
        <v>444</v>
      </c>
      <c r="B55" s="139">
        <v>60.292000000000002</v>
      </c>
      <c r="C55" s="137"/>
    </row>
    <row r="56" spans="1:3" ht="15">
      <c r="A56" s="137" t="s">
        <v>451</v>
      </c>
      <c r="B56" s="139">
        <v>56.841000000000001</v>
      </c>
      <c r="C56" s="137"/>
    </row>
    <row r="57" spans="1:3" ht="15">
      <c r="A57" s="137" t="s">
        <v>433</v>
      </c>
      <c r="B57" s="139">
        <v>-23.55</v>
      </c>
      <c r="C57" s="137"/>
    </row>
    <row r="58" spans="1:3" ht="15">
      <c r="A58" s="137" t="s">
        <v>434</v>
      </c>
      <c r="B58" s="139">
        <v>40.811999999999998</v>
      </c>
      <c r="C58" s="137"/>
    </row>
    <row r="59" spans="1:3" ht="15">
      <c r="A59" s="137" t="s">
        <v>435</v>
      </c>
      <c r="B59" s="139">
        <v>9.3620000000000001</v>
      </c>
      <c r="C59" s="137"/>
    </row>
    <row r="60" spans="1:3" ht="15">
      <c r="A60" s="137" t="s">
        <v>436</v>
      </c>
      <c r="B60" s="139">
        <v>169.572</v>
      </c>
      <c r="C60" s="137"/>
    </row>
    <row r="61" spans="1:3" ht="15">
      <c r="A61" s="137" t="s">
        <v>437</v>
      </c>
      <c r="B61" s="139">
        <v>18.071000000000002</v>
      </c>
      <c r="C61" s="137"/>
    </row>
    <row r="62" spans="1:3" ht="15">
      <c r="A62" s="137" t="s">
        <v>438</v>
      </c>
      <c r="B62" s="139">
        <v>5.3979999999999997</v>
      </c>
      <c r="C62" s="137"/>
    </row>
    <row r="63" spans="1:3" ht="15">
      <c r="A63" s="137" t="s">
        <v>439</v>
      </c>
      <c r="B63" s="139">
        <v>18.026</v>
      </c>
      <c r="C63" s="137"/>
    </row>
    <row r="64" spans="1:3" ht="15">
      <c r="A64" s="137" t="s">
        <v>440</v>
      </c>
      <c r="B64" s="139">
        <v>20.917000000000002</v>
      </c>
      <c r="C64" s="137"/>
    </row>
    <row r="65" spans="1:3" ht="15">
      <c r="A65" s="137" t="s">
        <v>441</v>
      </c>
      <c r="B65" s="139">
        <v>1.752</v>
      </c>
      <c r="C65" s="137"/>
    </row>
    <row r="66" spans="1:3" ht="15">
      <c r="A66" s="137" t="s">
        <v>452</v>
      </c>
      <c r="B66" s="139">
        <v>1.498</v>
      </c>
      <c r="C66" s="137"/>
    </row>
    <row r="67" spans="1:3" ht="15">
      <c r="A67" s="137" t="s">
        <v>442</v>
      </c>
      <c r="B67" s="139">
        <v>3.74</v>
      </c>
      <c r="C67" s="137"/>
    </row>
    <row r="68" spans="1:3" ht="15">
      <c r="A68" s="137" t="s">
        <v>445</v>
      </c>
      <c r="B68" s="139">
        <v>0.63900000000000001</v>
      </c>
      <c r="C68" s="137"/>
    </row>
    <row r="69" spans="1:3" ht="15">
      <c r="A69" s="137" t="s">
        <v>446</v>
      </c>
      <c r="B69" s="139">
        <v>0.68200000000000005</v>
      </c>
      <c r="C69" s="137"/>
    </row>
    <row r="70" spans="1:3" ht="15">
      <c r="A70" s="137" t="s">
        <v>450</v>
      </c>
      <c r="B70" s="139">
        <v>-241.803</v>
      </c>
      <c r="C70" s="137"/>
    </row>
    <row r="71" spans="1:3" ht="15">
      <c r="A71" s="137" t="s">
        <v>447</v>
      </c>
      <c r="B71" s="139">
        <v>7.6950000000000003</v>
      </c>
      <c r="C71" s="137"/>
    </row>
    <row r="72" spans="1:3" ht="15">
      <c r="A72" s="137" t="s">
        <v>448</v>
      </c>
      <c r="B72" s="139">
        <v>90.13</v>
      </c>
      <c r="C72" s="137"/>
    </row>
    <row r="73" spans="1:3" ht="15">
      <c r="A73" s="137" t="s">
        <v>449</v>
      </c>
      <c r="B73" s="139">
        <v>0.996</v>
      </c>
      <c r="C73" s="137"/>
    </row>
    <row r="74" spans="1:3" ht="15.75">
      <c r="A74" s="140" t="s">
        <v>523</v>
      </c>
      <c r="B74" s="141">
        <f>SUM(B47:B73)</f>
        <v>46491.366999999998</v>
      </c>
      <c r="C74" s="137"/>
    </row>
    <row r="75" spans="1:3" ht="15">
      <c r="A75" s="137"/>
      <c r="B75" s="137"/>
      <c r="C75" s="137"/>
    </row>
    <row r="76" spans="1:3" ht="15">
      <c r="A76" s="137" t="s">
        <v>481</v>
      </c>
      <c r="B76" s="137" t="s">
        <v>482</v>
      </c>
      <c r="C76" s="137"/>
    </row>
    <row r="77" spans="1:3" ht="15">
      <c r="A77" s="137"/>
      <c r="B77" s="137"/>
      <c r="C77" s="137"/>
    </row>
    <row r="78" spans="1:3" ht="15">
      <c r="A78" s="184" t="s">
        <v>484</v>
      </c>
      <c r="B78" s="137"/>
      <c r="C78" s="137"/>
    </row>
    <row r="81" spans="1:3" ht="15">
      <c r="A81" s="137" t="s">
        <v>485</v>
      </c>
    </row>
    <row r="82" spans="1:3" ht="15">
      <c r="A82" s="137" t="s">
        <v>497</v>
      </c>
      <c r="B82" s="137"/>
      <c r="C82" s="137"/>
    </row>
    <row r="83" spans="1:3" ht="15">
      <c r="A83" s="137"/>
      <c r="B83" s="185"/>
      <c r="C83" s="137"/>
    </row>
    <row r="84" spans="1:3" ht="15">
      <c r="A84" s="137" t="s">
        <v>404</v>
      </c>
      <c r="B84" s="139">
        <f>(41.238+2.237)</f>
        <v>43.475000000000001</v>
      </c>
      <c r="C84" s="137"/>
    </row>
    <row r="85" spans="1:3" ht="15">
      <c r="A85" s="137" t="s">
        <v>399</v>
      </c>
      <c r="B85" s="139">
        <v>0.104</v>
      </c>
      <c r="C85" s="137"/>
    </row>
    <row r="86" spans="1:3" ht="15">
      <c r="A86" s="137" t="s">
        <v>400</v>
      </c>
      <c r="B86" s="139">
        <v>43.295000000000002</v>
      </c>
      <c r="C86" s="137"/>
    </row>
    <row r="87" spans="1:3" ht="15">
      <c r="A87" s="137" t="s">
        <v>401</v>
      </c>
      <c r="B87" s="139">
        <v>12.395</v>
      </c>
      <c r="C87" s="137"/>
    </row>
    <row r="88" spans="1:3" ht="15">
      <c r="A88" s="137" t="s">
        <v>487</v>
      </c>
      <c r="B88" s="139">
        <f>0.207+0.4</f>
        <v>0.60699999999999998</v>
      </c>
      <c r="C88" s="137"/>
    </row>
    <row r="89" spans="1:3" ht="15">
      <c r="A89" s="137" t="s">
        <v>403</v>
      </c>
      <c r="B89" s="139">
        <v>5.2469999999999999</v>
      </c>
      <c r="C89" s="137"/>
    </row>
    <row r="90" spans="1:3" ht="15">
      <c r="A90" s="137" t="s">
        <v>495</v>
      </c>
      <c r="B90" s="139">
        <v>6.86</v>
      </c>
      <c r="C90" s="137"/>
    </row>
    <row r="91" spans="1:3" ht="15">
      <c r="A91" s="137" t="s">
        <v>422</v>
      </c>
      <c r="B91" s="139">
        <v>15.166</v>
      </c>
      <c r="C91" s="137"/>
    </row>
    <row r="92" spans="1:3" ht="15">
      <c r="A92" s="137" t="s">
        <v>406</v>
      </c>
      <c r="B92" s="139">
        <v>44.115000000000002</v>
      </c>
      <c r="C92" s="137"/>
    </row>
    <row r="93" spans="1:3" ht="15">
      <c r="A93" s="137" t="s">
        <v>407</v>
      </c>
      <c r="B93" s="139">
        <v>0.14099999999999999</v>
      </c>
      <c r="C93" s="137"/>
    </row>
    <row r="94" spans="1:3" ht="15">
      <c r="A94" s="137" t="s">
        <v>412</v>
      </c>
      <c r="B94" s="139">
        <v>51.850999999999999</v>
      </c>
      <c r="C94" s="137"/>
    </row>
    <row r="95" spans="1:3" ht="15">
      <c r="A95" s="137" t="s">
        <v>490</v>
      </c>
      <c r="B95" s="139">
        <v>1.569</v>
      </c>
      <c r="C95" s="137"/>
    </row>
    <row r="96" spans="1:3" ht="15">
      <c r="A96" s="137" t="s">
        <v>408</v>
      </c>
      <c r="B96" s="139">
        <v>3.9969999999999999</v>
      </c>
      <c r="C96" s="137"/>
    </row>
    <row r="97" spans="1:3" ht="15">
      <c r="A97" s="137" t="s">
        <v>489</v>
      </c>
      <c r="B97" s="139">
        <f>3.045+0.1</f>
        <v>3.145</v>
      </c>
      <c r="C97" s="137"/>
    </row>
    <row r="98" spans="1:3" ht="15">
      <c r="A98" s="137" t="s">
        <v>493</v>
      </c>
      <c r="B98" s="139">
        <v>2.4969999999999999</v>
      </c>
      <c r="C98" s="137"/>
    </row>
    <row r="99" spans="1:3" ht="15">
      <c r="A99" s="137" t="s">
        <v>492</v>
      </c>
      <c r="B99" s="139">
        <v>3.0579999999999998</v>
      </c>
      <c r="C99" s="137"/>
    </row>
    <row r="100" spans="1:3" ht="15">
      <c r="A100" s="137" t="s">
        <v>494</v>
      </c>
      <c r="B100" s="139">
        <v>0.33300000000000002</v>
      </c>
      <c r="C100" s="137"/>
    </row>
    <row r="101" spans="1:3" ht="15">
      <c r="A101" s="137" t="s">
        <v>488</v>
      </c>
      <c r="B101" s="139">
        <v>2.25</v>
      </c>
      <c r="C101" s="137"/>
    </row>
    <row r="102" spans="1:3" ht="15">
      <c r="A102" s="137" t="s">
        <v>491</v>
      </c>
      <c r="B102" s="139">
        <v>1.4770000000000001</v>
      </c>
      <c r="C102" s="137"/>
    </row>
    <row r="103" spans="1:3" ht="15">
      <c r="A103" s="137" t="s">
        <v>486</v>
      </c>
      <c r="B103" s="139">
        <f>0.706+1.934</f>
        <v>2.6399999999999997</v>
      </c>
      <c r="C103" s="137"/>
    </row>
    <row r="104" spans="1:3" ht="15">
      <c r="A104" s="137" t="s">
        <v>496</v>
      </c>
      <c r="B104" s="139">
        <v>0.39600000000000002</v>
      </c>
      <c r="C104" s="137"/>
    </row>
    <row r="105" spans="1:3" ht="15">
      <c r="A105" s="137" t="s">
        <v>411</v>
      </c>
      <c r="B105" s="139">
        <v>54.999000000000002</v>
      </c>
      <c r="C105" s="137"/>
    </row>
    <row r="106" spans="1:3" ht="15.75">
      <c r="A106" s="140" t="s">
        <v>506</v>
      </c>
      <c r="B106" s="141">
        <f>SUM(B84:B105)</f>
        <v>299.6169999999999</v>
      </c>
      <c r="C106" s="138"/>
    </row>
    <row r="107" spans="1:3" ht="15">
      <c r="A107" s="137"/>
      <c r="B107" s="137"/>
      <c r="C107" s="137"/>
    </row>
    <row r="108" spans="1:3" ht="15">
      <c r="A108" s="137" t="s">
        <v>481</v>
      </c>
      <c r="B108" s="137" t="s">
        <v>482</v>
      </c>
      <c r="C108" s="137"/>
    </row>
    <row r="109" spans="1:3" ht="15">
      <c r="A109" s="137"/>
      <c r="B109" s="137"/>
      <c r="C109" s="137"/>
    </row>
    <row r="110" spans="1:3" ht="15">
      <c r="A110" s="184" t="s">
        <v>484</v>
      </c>
      <c r="B110" s="137"/>
      <c r="C110" s="137"/>
    </row>
    <row r="113" spans="1:3" ht="15">
      <c r="A113" s="137" t="s">
        <v>485</v>
      </c>
    </row>
    <row r="114" spans="1:3" ht="15">
      <c r="A114" s="137" t="s">
        <v>498</v>
      </c>
      <c r="B114" s="137"/>
      <c r="C114" s="137"/>
    </row>
    <row r="115" spans="1:3" ht="15">
      <c r="A115" s="137"/>
      <c r="B115" s="185"/>
      <c r="C115" s="137"/>
    </row>
    <row r="116" spans="1:3" ht="15">
      <c r="A116" s="137" t="s">
        <v>404</v>
      </c>
      <c r="B116" s="139">
        <f>(13.501+0.493)*4</f>
        <v>55.975999999999999</v>
      </c>
      <c r="C116" s="137"/>
    </row>
    <row r="117" spans="1:3" ht="15">
      <c r="A117" s="137" t="s">
        <v>399</v>
      </c>
      <c r="B117" s="139">
        <f>0.164*4</f>
        <v>0.65600000000000003</v>
      </c>
      <c r="C117" s="137"/>
    </row>
    <row r="118" spans="1:3" ht="15">
      <c r="A118" s="137" t="s">
        <v>400</v>
      </c>
      <c r="B118" s="139">
        <f>16.639*4</f>
        <v>66.555999999999997</v>
      </c>
      <c r="C118" s="137"/>
    </row>
    <row r="119" spans="1:3" ht="15">
      <c r="A119" s="137" t="s">
        <v>401</v>
      </c>
      <c r="B119" s="139">
        <f>5.123*4</f>
        <v>20.492000000000001</v>
      </c>
      <c r="C119" s="137"/>
    </row>
    <row r="120" spans="1:3" ht="15">
      <c r="A120" s="137" t="s">
        <v>402</v>
      </c>
      <c r="B120" s="139">
        <f>(0.75+0.564)*4</f>
        <v>5.2560000000000002</v>
      </c>
      <c r="C120" s="137"/>
    </row>
    <row r="121" spans="1:3" ht="15">
      <c r="A121" s="137" t="s">
        <v>403</v>
      </c>
      <c r="B121" s="139">
        <f>2.038*4</f>
        <v>8.1519999999999992</v>
      </c>
      <c r="C121" s="137"/>
    </row>
    <row r="122" spans="1:3" ht="15">
      <c r="A122" s="137" t="s">
        <v>405</v>
      </c>
      <c r="B122" s="139">
        <f>4.233*2</f>
        <v>8.4659999999999993</v>
      </c>
      <c r="C122" s="137"/>
    </row>
    <row r="123" spans="1:3" ht="15">
      <c r="A123" s="137" t="s">
        <v>412</v>
      </c>
      <c r="B123" s="139">
        <f>23.293*4</f>
        <v>93.171999999999997</v>
      </c>
      <c r="C123" s="137"/>
    </row>
    <row r="124" spans="1:3" ht="15">
      <c r="A124" s="137" t="s">
        <v>406</v>
      </c>
      <c r="B124" s="139">
        <f>(72.338*4)/2</f>
        <v>144.67599999999999</v>
      </c>
      <c r="C124" s="137"/>
    </row>
    <row r="125" spans="1:3" ht="15">
      <c r="A125" s="137" t="s">
        <v>407</v>
      </c>
      <c r="B125" s="139">
        <f>0.331*4</f>
        <v>1.3240000000000001</v>
      </c>
      <c r="C125" s="137"/>
    </row>
    <row r="126" spans="1:3" ht="15">
      <c r="A126" s="137" t="s">
        <v>408</v>
      </c>
      <c r="B126" s="139">
        <f>0.999*4</f>
        <v>3.996</v>
      </c>
      <c r="C126" s="137"/>
    </row>
    <row r="127" spans="1:3" ht="15">
      <c r="A127" s="137" t="s">
        <v>409</v>
      </c>
      <c r="B127" s="139">
        <f>0.58*4</f>
        <v>2.3199999999999998</v>
      </c>
      <c r="C127" s="137"/>
    </row>
    <row r="128" spans="1:3" ht="15">
      <c r="A128" s="137" t="s">
        <v>410</v>
      </c>
      <c r="B128" s="139">
        <f>0.12*4</f>
        <v>0.48</v>
      </c>
      <c r="C128" s="137"/>
    </row>
    <row r="129" spans="1:4" ht="15">
      <c r="A129" s="137" t="s">
        <v>411</v>
      </c>
      <c r="B129" s="139">
        <f>15*4</f>
        <v>60</v>
      </c>
      <c r="C129" s="137"/>
    </row>
    <row r="130" spans="1:4" ht="15.75">
      <c r="A130" s="140" t="s">
        <v>506</v>
      </c>
      <c r="B130" s="141">
        <f>SUM(B116:B129)</f>
        <v>471.52199999999999</v>
      </c>
      <c r="C130" s="138"/>
    </row>
    <row r="131" spans="1:4" ht="15">
      <c r="A131" s="137"/>
      <c r="B131" s="137"/>
      <c r="C131" s="137"/>
    </row>
    <row r="133" spans="1:4" ht="15">
      <c r="A133" s="137" t="s">
        <v>481</v>
      </c>
      <c r="B133" s="137" t="s">
        <v>482</v>
      </c>
      <c r="C133" s="137"/>
    </row>
    <row r="134" spans="1:4" ht="15">
      <c r="A134" s="137"/>
      <c r="B134" s="137"/>
      <c r="C134" s="137"/>
    </row>
    <row r="135" spans="1:4" ht="15">
      <c r="A135" s="184" t="s">
        <v>484</v>
      </c>
      <c r="B135" s="137"/>
      <c r="C135" s="137"/>
    </row>
    <row r="141" spans="1:4" ht="15">
      <c r="B141" s="137"/>
      <c r="C141" s="137"/>
    </row>
    <row r="142" spans="1:4" ht="15">
      <c r="B142" s="137"/>
      <c r="C142" s="137"/>
    </row>
    <row r="143" spans="1:4" ht="15">
      <c r="A143" s="137" t="s">
        <v>485</v>
      </c>
      <c r="D143" s="137"/>
    </row>
    <row r="144" spans="1:4" ht="15">
      <c r="A144" s="137" t="s">
        <v>499</v>
      </c>
      <c r="B144" s="137"/>
      <c r="C144" s="137"/>
      <c r="D144" s="137"/>
    </row>
    <row r="145" spans="1:4" ht="15">
      <c r="A145" s="137"/>
      <c r="B145" s="185"/>
      <c r="C145" s="137"/>
      <c r="D145" s="137"/>
    </row>
    <row r="146" spans="1:4" ht="15">
      <c r="A146" s="137" t="s">
        <v>404</v>
      </c>
      <c r="B146" s="139">
        <f>(13.501+0.493)*4</f>
        <v>55.975999999999999</v>
      </c>
      <c r="C146" s="137"/>
      <c r="D146" s="137"/>
    </row>
    <row r="147" spans="1:4" ht="15">
      <c r="A147" s="137" t="s">
        <v>399</v>
      </c>
      <c r="B147" s="139">
        <f>0.164*4</f>
        <v>0.65600000000000003</v>
      </c>
      <c r="C147" s="137"/>
      <c r="D147" s="137"/>
    </row>
    <row r="148" spans="1:4" ht="15">
      <c r="A148" s="137" t="s">
        <v>400</v>
      </c>
      <c r="B148" s="139">
        <f>(5.2*12)*2</f>
        <v>124.80000000000001</v>
      </c>
      <c r="C148" s="137"/>
      <c r="D148" s="137"/>
    </row>
    <row r="149" spans="1:4" ht="15">
      <c r="A149" s="137" t="s">
        <v>401</v>
      </c>
      <c r="B149" s="139">
        <f>5.123*4</f>
        <v>20.492000000000001</v>
      </c>
      <c r="C149" s="137"/>
      <c r="D149" s="137"/>
    </row>
    <row r="150" spans="1:4" ht="15">
      <c r="A150" s="137" t="s">
        <v>402</v>
      </c>
      <c r="B150" s="139">
        <f>(0.75+0.564)*4</f>
        <v>5.2560000000000002</v>
      </c>
      <c r="C150" s="137"/>
      <c r="D150" s="137"/>
    </row>
    <row r="151" spans="1:4" ht="15">
      <c r="A151" s="137" t="s">
        <v>403</v>
      </c>
      <c r="B151" s="139">
        <f>2.038*4</f>
        <v>8.1519999999999992</v>
      </c>
      <c r="C151" s="137"/>
      <c r="D151" s="137"/>
    </row>
    <row r="152" spans="1:4" ht="15">
      <c r="A152" s="137" t="s">
        <v>405</v>
      </c>
      <c r="B152" s="139">
        <v>9.5</v>
      </c>
      <c r="C152" s="137"/>
      <c r="D152" s="137"/>
    </row>
    <row r="153" spans="1:4" ht="15">
      <c r="A153" s="137" t="s">
        <v>412</v>
      </c>
      <c r="B153" s="139">
        <v>99.2</v>
      </c>
      <c r="C153" s="137"/>
      <c r="D153" s="137"/>
    </row>
    <row r="154" spans="1:4" ht="15">
      <c r="A154" s="137" t="s">
        <v>406</v>
      </c>
      <c r="B154" s="139">
        <f>200-2.2</f>
        <v>197.8</v>
      </c>
      <c r="C154" s="137"/>
      <c r="D154" s="137"/>
    </row>
    <row r="155" spans="1:4" ht="15">
      <c r="A155" s="137" t="s">
        <v>407</v>
      </c>
      <c r="B155" s="139">
        <f>0.331*4</f>
        <v>1.3240000000000001</v>
      </c>
      <c r="C155" s="137"/>
      <c r="D155" s="137"/>
    </row>
    <row r="156" spans="1:4" ht="15">
      <c r="A156" s="137" t="s">
        <v>408</v>
      </c>
      <c r="B156" s="139">
        <f>0.999*4</f>
        <v>3.996</v>
      </c>
      <c r="C156" s="137"/>
      <c r="D156" s="137"/>
    </row>
    <row r="157" spans="1:4" ht="15">
      <c r="A157" s="137" t="s">
        <v>409</v>
      </c>
      <c r="B157" s="139">
        <f>0.58*4</f>
        <v>2.3199999999999998</v>
      </c>
      <c r="C157" s="137"/>
      <c r="D157" s="137"/>
    </row>
    <row r="158" spans="1:4" ht="15.75">
      <c r="A158" s="137" t="s">
        <v>410</v>
      </c>
      <c r="B158" s="139">
        <f>0.12*4</f>
        <v>0.48</v>
      </c>
      <c r="C158" s="137"/>
      <c r="D158" s="138"/>
    </row>
    <row r="159" spans="1:4" ht="15">
      <c r="A159" s="137" t="s">
        <v>411</v>
      </c>
      <c r="B159" s="139">
        <f>15*4+10</f>
        <v>70</v>
      </c>
      <c r="C159" s="137"/>
    </row>
    <row r="160" spans="1:4" ht="15.75">
      <c r="A160" s="140" t="s">
        <v>507</v>
      </c>
      <c r="B160" s="141">
        <f>SUM(B146:B159)</f>
        <v>599.952</v>
      </c>
      <c r="C160" s="138"/>
    </row>
    <row r="162" spans="1:3" ht="15">
      <c r="A162" s="137" t="s">
        <v>481</v>
      </c>
      <c r="B162" s="137" t="s">
        <v>482</v>
      </c>
      <c r="C162" s="137"/>
    </row>
    <row r="163" spans="1:3" ht="15">
      <c r="A163" s="137"/>
      <c r="B163" s="137"/>
      <c r="C163" s="137"/>
    </row>
    <row r="164" spans="1:3" ht="15">
      <c r="A164" s="184" t="s">
        <v>484</v>
      </c>
      <c r="B164" s="137"/>
      <c r="C164" s="137"/>
    </row>
    <row r="165" spans="1:3" ht="15">
      <c r="A165" s="184"/>
      <c r="B165" s="137"/>
      <c r="C165" s="137"/>
    </row>
    <row r="166" spans="1:3" ht="16.5">
      <c r="A166" s="187" t="s">
        <v>503</v>
      </c>
      <c r="B166" s="137"/>
      <c r="C166" s="137"/>
    </row>
    <row r="167" spans="1:3" ht="15">
      <c r="A167" s="137"/>
      <c r="B167" s="137"/>
      <c r="C167" s="137"/>
    </row>
    <row r="168" spans="1:3" ht="15">
      <c r="A168" s="137" t="s">
        <v>500</v>
      </c>
      <c r="B168" s="137"/>
      <c r="C168" s="137"/>
    </row>
    <row r="169" spans="1:3" ht="15">
      <c r="A169" s="137"/>
      <c r="B169" s="137"/>
      <c r="C169" s="137"/>
    </row>
    <row r="170" spans="1:3" ht="15">
      <c r="A170" s="137"/>
      <c r="B170" s="185"/>
      <c r="C170" s="137"/>
    </row>
    <row r="171" spans="1:3" ht="15">
      <c r="A171" s="137" t="s">
        <v>413</v>
      </c>
      <c r="B171" s="139">
        <f>11.6+117.3</f>
        <v>128.9</v>
      </c>
      <c r="C171" s="137"/>
    </row>
    <row r="172" spans="1:3" ht="15">
      <c r="A172" s="137" t="s">
        <v>414</v>
      </c>
      <c r="B172" s="139">
        <f>0.148+15.269</f>
        <v>15.417</v>
      </c>
      <c r="C172" s="137"/>
    </row>
    <row r="173" spans="1:3" ht="15">
      <c r="A173" s="137" t="s">
        <v>415</v>
      </c>
      <c r="B173" s="139">
        <f>0.996+0.996</f>
        <v>1.992</v>
      </c>
      <c r="C173" s="137"/>
    </row>
    <row r="174" spans="1:3" ht="15">
      <c r="A174" s="137" t="s">
        <v>458</v>
      </c>
      <c r="B174" s="139">
        <f>0.44+0.774+0.282</f>
        <v>1.496</v>
      </c>
      <c r="C174" s="137"/>
    </row>
    <row r="175" spans="1:3" ht="15">
      <c r="A175" s="137" t="s">
        <v>412</v>
      </c>
      <c r="B175" s="139">
        <f>6.129</f>
        <v>6.1289999999999996</v>
      </c>
      <c r="C175" s="137"/>
    </row>
    <row r="176" spans="1:3" ht="15">
      <c r="A176" s="137" t="s">
        <v>400</v>
      </c>
      <c r="B176" s="139">
        <f>2.891+2.89+2.891</f>
        <v>8.6720000000000006</v>
      </c>
      <c r="C176" s="137"/>
    </row>
    <row r="177" spans="1:3" ht="15">
      <c r="A177" s="137" t="s">
        <v>502</v>
      </c>
      <c r="B177" s="139">
        <v>0.11899999999999999</v>
      </c>
      <c r="C177" s="137"/>
    </row>
    <row r="178" spans="1:3" ht="15">
      <c r="A178" s="137" t="s">
        <v>416</v>
      </c>
      <c r="B178" s="139">
        <v>-0.58199999999999996</v>
      </c>
      <c r="C178" s="137"/>
    </row>
    <row r="179" spans="1:3" ht="15.75">
      <c r="A179" s="140" t="s">
        <v>508</v>
      </c>
      <c r="B179" s="141">
        <f>SUM(B171:B178)</f>
        <v>162.143</v>
      </c>
      <c r="C179" s="137"/>
    </row>
    <row r="180" spans="1:3" ht="15">
      <c r="A180" s="137"/>
      <c r="B180" s="137"/>
      <c r="C180" s="137"/>
    </row>
    <row r="181" spans="1:3" ht="15">
      <c r="A181" s="137" t="s">
        <v>505</v>
      </c>
      <c r="B181" s="137"/>
      <c r="C181" s="137"/>
    </row>
    <row r="182" spans="1:3" ht="15">
      <c r="A182" s="137"/>
      <c r="B182" s="137"/>
      <c r="C182" s="137"/>
    </row>
    <row r="183" spans="1:3" ht="15">
      <c r="A183" s="137"/>
      <c r="B183" s="185"/>
      <c r="C183" s="137"/>
    </row>
    <row r="184" spans="1:3" ht="15">
      <c r="A184" s="137" t="s">
        <v>413</v>
      </c>
      <c r="B184" s="139">
        <v>141</v>
      </c>
      <c r="C184" s="137"/>
    </row>
    <row r="185" spans="1:3" ht="15">
      <c r="A185" s="137" t="s">
        <v>414</v>
      </c>
      <c r="B185" s="139">
        <v>8</v>
      </c>
      <c r="C185" s="137"/>
    </row>
    <row r="186" spans="1:3" ht="15">
      <c r="A186" s="137" t="s">
        <v>415</v>
      </c>
      <c r="B186" s="139">
        <v>2</v>
      </c>
      <c r="C186" s="137"/>
    </row>
    <row r="187" spans="1:3" ht="15">
      <c r="A187" s="137" t="s">
        <v>458</v>
      </c>
      <c r="B187" s="139">
        <v>1.6</v>
      </c>
      <c r="C187" s="137"/>
    </row>
    <row r="188" spans="1:3" ht="15">
      <c r="A188" s="137" t="s">
        <v>504</v>
      </c>
      <c r="B188" s="139">
        <v>1.5</v>
      </c>
      <c r="C188" s="137"/>
    </row>
    <row r="189" spans="1:3" ht="15">
      <c r="A189" s="137"/>
      <c r="B189" s="139"/>
      <c r="C189" s="137"/>
    </row>
    <row r="190" spans="1:3" ht="15.75">
      <c r="A190" s="140" t="s">
        <v>508</v>
      </c>
      <c r="B190" s="141">
        <f>SUM(B184:B188)</f>
        <v>154.1</v>
      </c>
      <c r="C190" s="137"/>
    </row>
    <row r="191" spans="1:3" ht="15">
      <c r="A191" s="137"/>
      <c r="B191" s="137"/>
      <c r="C191" s="137"/>
    </row>
    <row r="192" spans="1:3" ht="15">
      <c r="A192" s="137" t="s">
        <v>501</v>
      </c>
      <c r="B192" s="137"/>
      <c r="C192" s="137"/>
    </row>
    <row r="193" spans="1:3" ht="15">
      <c r="A193" s="137"/>
      <c r="B193" s="137"/>
      <c r="C193" s="137"/>
    </row>
    <row r="194" spans="1:3" ht="15">
      <c r="A194" s="137"/>
      <c r="B194" s="185"/>
      <c r="C194" s="137"/>
    </row>
    <row r="195" spans="1:3" ht="15">
      <c r="A195" s="137" t="s">
        <v>413</v>
      </c>
      <c r="B195" s="139">
        <f>393</f>
        <v>393</v>
      </c>
      <c r="C195" s="137"/>
    </row>
    <row r="196" spans="1:3" ht="15">
      <c r="A196" s="137" t="s">
        <v>414</v>
      </c>
      <c r="B196" s="139">
        <f>(1.301+1.53+0.249+1.585)*4+10</f>
        <v>28.66</v>
      </c>
      <c r="C196" s="137"/>
    </row>
    <row r="197" spans="1:3" ht="15">
      <c r="A197" s="137" t="s">
        <v>415</v>
      </c>
      <c r="B197" s="139">
        <f>0.249*12</f>
        <v>2.988</v>
      </c>
      <c r="C197" s="137"/>
    </row>
    <row r="198" spans="1:3" ht="15">
      <c r="A198" s="137" t="s">
        <v>458</v>
      </c>
      <c r="B198" s="139">
        <f>(0.15+0.243+0.102)*4</f>
        <v>1.98</v>
      </c>
      <c r="C198" s="137"/>
    </row>
    <row r="199" spans="1:3" ht="15">
      <c r="A199" s="137" t="s">
        <v>412</v>
      </c>
      <c r="B199" s="139">
        <f>0.483*21</f>
        <v>10.142999999999999</v>
      </c>
      <c r="C199" s="137"/>
    </row>
    <row r="200" spans="1:3" ht="15">
      <c r="A200" s="137"/>
      <c r="B200" s="139"/>
      <c r="C200" s="137"/>
    </row>
    <row r="201" spans="1:3" ht="15.75">
      <c r="A201" s="140" t="s">
        <v>508</v>
      </c>
      <c r="B201" s="141">
        <f>SUM(B195:B199)</f>
        <v>436.77100000000002</v>
      </c>
      <c r="C201" s="137"/>
    </row>
    <row r="202" spans="1:3" ht="15">
      <c r="A202" s="137"/>
      <c r="B202" s="137"/>
      <c r="C202" s="137"/>
    </row>
    <row r="203" spans="1:3" ht="15">
      <c r="A203" s="137" t="s">
        <v>481</v>
      </c>
      <c r="B203" s="137" t="s">
        <v>482</v>
      </c>
      <c r="C203" s="137"/>
    </row>
    <row r="204" spans="1:3" ht="15">
      <c r="A204" s="137"/>
      <c r="B204" s="137"/>
      <c r="C204" s="137"/>
    </row>
    <row r="205" spans="1:3" ht="15">
      <c r="A205" s="184" t="s">
        <v>484</v>
      </c>
      <c r="B205" s="137"/>
      <c r="C205" s="137"/>
    </row>
    <row r="206" spans="1:3" ht="15">
      <c r="A206" s="137"/>
      <c r="B206" s="137"/>
      <c r="C206" s="137"/>
    </row>
    <row r="207" spans="1:3" ht="15">
      <c r="A207" s="137"/>
      <c r="B207" s="137"/>
      <c r="C207" s="137"/>
    </row>
    <row r="208" spans="1:3" ht="15">
      <c r="A208" s="137"/>
      <c r="B208" s="137"/>
      <c r="C208" s="137"/>
    </row>
    <row r="209" spans="1:3" ht="15">
      <c r="A209" s="137"/>
      <c r="B209" s="137"/>
      <c r="C209" s="137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S223"/>
  <sheetViews>
    <sheetView workbookViewId="0">
      <selection activeCell="F73" sqref="F73"/>
    </sheetView>
  </sheetViews>
  <sheetFormatPr defaultRowHeight="12.75"/>
  <cols>
    <col min="1" max="1" width="47.7109375" customWidth="1"/>
    <col min="2" max="2" width="11.5703125" bestFit="1" customWidth="1"/>
    <col min="8" max="8" width="35.85546875" customWidth="1"/>
    <col min="9" max="10" width="9.5703125" bestFit="1" customWidth="1"/>
    <col min="11" max="11" width="43.42578125" customWidth="1"/>
    <col min="12" max="12" width="9.5703125" bestFit="1" customWidth="1"/>
    <col min="14" max="14" width="36.85546875" customWidth="1"/>
    <col min="15" max="15" width="12.7109375" customWidth="1"/>
  </cols>
  <sheetData>
    <row r="1" spans="1:16" ht="15.75">
      <c r="A1" s="145"/>
      <c r="B1" s="145"/>
      <c r="C1" s="145"/>
      <c r="D1" s="145"/>
      <c r="E1" s="145"/>
      <c r="F1" s="145"/>
      <c r="G1" s="145"/>
      <c r="H1" s="137"/>
      <c r="I1" s="137"/>
      <c r="J1" s="137"/>
      <c r="K1" s="137"/>
      <c r="L1" s="137"/>
      <c r="M1" s="137"/>
      <c r="N1" s="137"/>
      <c r="O1" s="138"/>
      <c r="P1" s="137"/>
    </row>
    <row r="2" spans="1:16" ht="15.75">
      <c r="A2" s="191" t="s">
        <v>544</v>
      </c>
      <c r="B2" s="188"/>
      <c r="C2" s="188"/>
      <c r="D2" s="145"/>
      <c r="E2" s="145"/>
      <c r="F2" s="145"/>
      <c r="G2" s="145"/>
      <c r="H2" s="137"/>
      <c r="I2" s="137"/>
      <c r="J2" s="137"/>
      <c r="K2" s="137"/>
      <c r="L2" s="137"/>
      <c r="M2" s="137"/>
      <c r="N2" s="137"/>
      <c r="O2" s="137"/>
      <c r="P2" s="137"/>
    </row>
    <row r="3" spans="1:16" ht="15">
      <c r="A3" s="188"/>
      <c r="B3" s="188"/>
      <c r="C3" s="188"/>
      <c r="D3" s="145"/>
      <c r="E3" s="145"/>
      <c r="F3" s="145"/>
      <c r="G3" s="145"/>
      <c r="H3" s="137"/>
      <c r="I3" s="137"/>
      <c r="J3" s="137"/>
      <c r="K3" s="137"/>
      <c r="L3" s="137"/>
      <c r="M3" s="137"/>
      <c r="N3" s="137"/>
      <c r="O3" s="137"/>
      <c r="P3" s="137"/>
    </row>
    <row r="4" spans="1:16" ht="15.75">
      <c r="A4" s="138" t="s">
        <v>538</v>
      </c>
      <c r="B4" s="137"/>
      <c r="C4" s="137"/>
      <c r="H4" s="137"/>
      <c r="I4" s="137"/>
      <c r="J4" s="137"/>
      <c r="K4" s="137"/>
      <c r="L4" s="137"/>
      <c r="M4" s="137"/>
      <c r="N4" s="137"/>
      <c r="O4" s="137"/>
      <c r="P4" s="137"/>
    </row>
    <row r="5" spans="1:16" ht="15.75">
      <c r="A5" s="138"/>
      <c r="B5" s="137"/>
      <c r="C5" s="137"/>
      <c r="H5" s="137"/>
      <c r="I5" s="137"/>
      <c r="J5" s="137"/>
      <c r="K5" s="137"/>
      <c r="L5" s="137"/>
      <c r="M5" s="137"/>
      <c r="N5" s="137"/>
      <c r="O5" s="137"/>
      <c r="P5" s="137"/>
    </row>
    <row r="6" spans="1:16" ht="15">
      <c r="A6" s="137" t="s">
        <v>542</v>
      </c>
      <c r="B6" s="137"/>
      <c r="C6" s="137"/>
      <c r="H6" s="137"/>
      <c r="I6" s="137"/>
      <c r="J6" s="137"/>
      <c r="K6" s="137"/>
      <c r="L6" s="137"/>
      <c r="M6" s="137"/>
      <c r="N6" s="137"/>
      <c r="O6" s="137"/>
      <c r="P6" s="137"/>
    </row>
    <row r="7" spans="1:16" ht="15.75">
      <c r="A7" s="137" t="s">
        <v>536</v>
      </c>
      <c r="B7" s="139">
        <v>339</v>
      </c>
      <c r="C7" s="137"/>
      <c r="H7" s="137"/>
      <c r="I7" s="137"/>
      <c r="J7" s="137"/>
      <c r="K7" s="137"/>
      <c r="L7" s="137"/>
      <c r="M7" s="137"/>
      <c r="N7" s="143"/>
      <c r="O7" s="137"/>
      <c r="P7" s="137"/>
    </row>
    <row r="8" spans="1:16" ht="15">
      <c r="A8" s="137" t="s">
        <v>537</v>
      </c>
      <c r="B8" s="139">
        <v>496</v>
      </c>
      <c r="C8" s="137"/>
      <c r="H8" s="137"/>
      <c r="I8" s="139"/>
      <c r="J8" s="137"/>
      <c r="K8" s="137"/>
      <c r="L8" s="137"/>
      <c r="M8" s="137"/>
      <c r="N8" s="137"/>
      <c r="O8" s="137"/>
      <c r="P8" s="137"/>
    </row>
    <row r="9" spans="1:16" ht="15">
      <c r="A9" s="148" t="s">
        <v>523</v>
      </c>
      <c r="B9" s="139">
        <f>B7+B8</f>
        <v>835</v>
      </c>
      <c r="C9" s="137"/>
      <c r="H9" s="137"/>
      <c r="I9" s="139"/>
      <c r="J9" s="137"/>
      <c r="K9" s="137"/>
      <c r="L9" s="137"/>
      <c r="M9" s="137"/>
      <c r="N9" s="137"/>
      <c r="O9" s="137"/>
      <c r="P9" s="137"/>
    </row>
    <row r="10" spans="1:16" ht="15">
      <c r="A10" s="148"/>
      <c r="B10" s="139"/>
      <c r="C10" s="137"/>
      <c r="H10" s="137"/>
      <c r="I10" s="139"/>
      <c r="J10" s="137"/>
      <c r="K10" s="137"/>
      <c r="L10" s="137"/>
      <c r="M10" s="137"/>
      <c r="N10" s="137"/>
      <c r="O10" s="137"/>
      <c r="P10" s="137"/>
    </row>
    <row r="11" spans="1:16" ht="15">
      <c r="A11" s="148" t="s">
        <v>543</v>
      </c>
      <c r="B11" s="139"/>
      <c r="C11" s="137"/>
      <c r="H11" s="137"/>
      <c r="I11" s="139"/>
      <c r="J11" s="137"/>
      <c r="K11" s="137"/>
      <c r="L11" s="137"/>
      <c r="M11" s="137"/>
      <c r="N11" s="137"/>
      <c r="O11" s="137"/>
      <c r="P11" s="137"/>
    </row>
    <row r="12" spans="1:16" ht="15">
      <c r="A12" s="148"/>
      <c r="B12" s="139"/>
      <c r="C12" s="137"/>
      <c r="H12" s="137"/>
      <c r="I12" s="139"/>
      <c r="J12" s="137"/>
      <c r="K12" s="137"/>
      <c r="L12" s="137"/>
      <c r="M12" s="137"/>
      <c r="N12" s="137"/>
      <c r="O12" s="137"/>
      <c r="P12" s="137"/>
    </row>
    <row r="13" spans="1:16" ht="15">
      <c r="A13" s="137" t="s">
        <v>536</v>
      </c>
      <c r="B13" s="139">
        <v>339</v>
      </c>
      <c r="C13" s="137"/>
      <c r="H13" s="137"/>
      <c r="I13" s="139"/>
      <c r="J13" s="137"/>
      <c r="K13" s="137"/>
      <c r="L13" s="137"/>
      <c r="M13" s="137"/>
      <c r="N13" s="137"/>
      <c r="O13" s="137"/>
      <c r="P13" s="137"/>
    </row>
    <row r="14" spans="1:16" ht="15">
      <c r="A14" s="137" t="s">
        <v>537</v>
      </c>
      <c r="B14" s="139">
        <v>496</v>
      </c>
      <c r="C14" s="137"/>
      <c r="H14" s="137"/>
      <c r="I14" s="139"/>
      <c r="J14" s="137"/>
      <c r="K14" s="137"/>
      <c r="L14" s="137"/>
      <c r="M14" s="137"/>
      <c r="N14" s="137"/>
      <c r="O14" s="137"/>
      <c r="P14" s="137"/>
    </row>
    <row r="15" spans="1:16" ht="15">
      <c r="A15" s="148" t="s">
        <v>523</v>
      </c>
      <c r="B15" s="139">
        <f>B13+B14</f>
        <v>835</v>
      </c>
      <c r="C15" s="137"/>
      <c r="H15" s="137"/>
      <c r="I15" s="139"/>
      <c r="J15" s="137"/>
      <c r="K15" s="137"/>
      <c r="L15" s="137"/>
      <c r="M15" s="137"/>
      <c r="N15" s="137"/>
      <c r="O15" s="137"/>
      <c r="P15" s="137"/>
    </row>
    <row r="16" spans="1:16" ht="15">
      <c r="A16" s="148"/>
      <c r="B16" s="139"/>
      <c r="C16" s="137"/>
      <c r="H16" s="137"/>
      <c r="I16" s="139"/>
      <c r="J16" s="137"/>
      <c r="K16" s="137"/>
      <c r="L16" s="137"/>
      <c r="M16" s="137"/>
      <c r="N16" s="137"/>
      <c r="O16" s="137"/>
      <c r="P16" s="137"/>
    </row>
    <row r="17" spans="1:19" ht="15">
      <c r="A17" s="148" t="s">
        <v>383</v>
      </c>
      <c r="B17" s="139"/>
      <c r="C17" s="137"/>
      <c r="H17" s="137"/>
      <c r="I17" s="139"/>
      <c r="J17" s="137"/>
      <c r="K17" s="137"/>
      <c r="L17" s="137"/>
      <c r="M17" s="137"/>
      <c r="N17" s="137"/>
      <c r="O17" s="137"/>
      <c r="P17" s="137"/>
    </row>
    <row r="18" spans="1:19" ht="15">
      <c r="A18" s="137" t="s">
        <v>536</v>
      </c>
      <c r="B18" s="139">
        <f>339*2</f>
        <v>678</v>
      </c>
      <c r="C18" s="137"/>
      <c r="H18" s="137"/>
      <c r="I18" s="139"/>
      <c r="J18" s="137"/>
      <c r="K18" s="137"/>
      <c r="L18" s="137"/>
      <c r="M18" s="137"/>
      <c r="N18" s="137"/>
      <c r="O18" s="137"/>
      <c r="P18" s="137"/>
    </row>
    <row r="19" spans="1:19" ht="15">
      <c r="A19" s="137" t="s">
        <v>537</v>
      </c>
      <c r="B19" s="139">
        <f>B14*2-125.1</f>
        <v>866.9</v>
      </c>
      <c r="C19" s="137"/>
      <c r="H19" s="137"/>
      <c r="I19" s="139"/>
      <c r="J19" s="137"/>
      <c r="K19" s="137"/>
      <c r="L19" s="137"/>
      <c r="M19" s="137"/>
      <c r="N19" s="137"/>
      <c r="O19" s="137"/>
      <c r="P19" s="137"/>
    </row>
    <row r="20" spans="1:19" ht="15">
      <c r="A20" s="148" t="s">
        <v>523</v>
      </c>
      <c r="B20" s="139">
        <f>B18+B19</f>
        <v>1544.9</v>
      </c>
      <c r="C20" s="137"/>
      <c r="H20" s="137"/>
      <c r="I20" s="139"/>
      <c r="J20" s="137"/>
      <c r="K20" s="137"/>
      <c r="L20" s="137"/>
      <c r="M20" s="137"/>
      <c r="N20" s="137"/>
      <c r="O20" s="137"/>
      <c r="P20" s="137"/>
    </row>
    <row r="21" spans="1:19" ht="15">
      <c r="A21" s="148"/>
      <c r="B21" s="139"/>
      <c r="C21" s="137"/>
      <c r="H21" s="137"/>
      <c r="I21" s="139"/>
      <c r="J21" s="137"/>
      <c r="K21" s="137"/>
      <c r="L21" s="137"/>
      <c r="M21" s="137"/>
      <c r="N21" s="137"/>
      <c r="O21" s="137"/>
      <c r="P21" s="137"/>
    </row>
    <row r="22" spans="1:19" ht="15">
      <c r="A22" s="148" t="s">
        <v>393</v>
      </c>
      <c r="B22" s="139"/>
      <c r="C22" s="137"/>
      <c r="H22" s="137"/>
      <c r="I22" s="139"/>
      <c r="J22" s="137"/>
      <c r="K22" s="137"/>
      <c r="L22" s="137"/>
      <c r="M22" s="137"/>
      <c r="N22" s="137"/>
      <c r="O22" s="137"/>
      <c r="P22" s="137"/>
    </row>
    <row r="23" spans="1:19" ht="15">
      <c r="A23" s="137" t="s">
        <v>536</v>
      </c>
      <c r="B23" s="139">
        <f>339*2</f>
        <v>678</v>
      </c>
      <c r="C23" s="137"/>
      <c r="H23" s="137"/>
      <c r="I23" s="139"/>
      <c r="J23" s="137"/>
      <c r="K23" s="137"/>
      <c r="L23" s="137"/>
      <c r="M23" s="137"/>
      <c r="N23" s="137"/>
      <c r="O23" s="137"/>
      <c r="P23" s="137"/>
      <c r="S23">
        <v>0</v>
      </c>
    </row>
    <row r="24" spans="1:19" ht="15">
      <c r="A24" s="137" t="s">
        <v>537</v>
      </c>
      <c r="B24" s="139">
        <f>866.9+3.3</f>
        <v>870.19999999999993</v>
      </c>
      <c r="C24" s="137"/>
      <c r="H24" s="137"/>
      <c r="I24" s="139"/>
      <c r="J24" s="137"/>
      <c r="K24" s="137"/>
      <c r="L24" s="137"/>
      <c r="M24" s="137"/>
      <c r="N24" s="137"/>
      <c r="O24" s="137"/>
      <c r="P24" s="137"/>
    </row>
    <row r="25" spans="1:19" ht="15">
      <c r="A25" s="148" t="s">
        <v>523</v>
      </c>
      <c r="B25" s="139">
        <f>B23+B24</f>
        <v>1548.1999999999998</v>
      </c>
      <c r="C25" s="137"/>
      <c r="H25" s="137"/>
      <c r="I25" s="139"/>
      <c r="J25" s="137"/>
      <c r="K25" s="137"/>
      <c r="L25" s="137"/>
      <c r="M25" s="137"/>
      <c r="N25" s="137"/>
      <c r="O25" s="137"/>
      <c r="P25" s="137"/>
    </row>
    <row r="26" spans="1:19" ht="15">
      <c r="A26" s="148"/>
      <c r="B26" s="139"/>
      <c r="C26" s="137"/>
      <c r="H26" s="137"/>
      <c r="I26" s="139"/>
      <c r="J26" s="137"/>
      <c r="K26" s="137"/>
      <c r="L26" s="137"/>
      <c r="M26" s="137"/>
      <c r="N26" s="137"/>
      <c r="O26" s="137"/>
      <c r="P26" s="137"/>
    </row>
    <row r="27" spans="1:19" ht="15">
      <c r="A27" s="148"/>
      <c r="B27" s="139"/>
      <c r="C27" s="137"/>
      <c r="H27" s="137"/>
      <c r="I27" s="139"/>
      <c r="J27" s="137"/>
      <c r="K27" s="137"/>
      <c r="L27" s="137"/>
      <c r="M27" s="137"/>
      <c r="N27" s="137"/>
      <c r="O27" s="137"/>
      <c r="P27" s="137"/>
    </row>
    <row r="28" spans="1:19" ht="15">
      <c r="A28" s="137" t="s">
        <v>481</v>
      </c>
      <c r="B28" s="137" t="s">
        <v>482</v>
      </c>
      <c r="C28" s="137"/>
      <c r="H28" s="137"/>
      <c r="I28" s="139"/>
      <c r="J28" s="137"/>
      <c r="K28" s="137"/>
      <c r="L28" s="137"/>
      <c r="M28" s="137"/>
      <c r="N28" s="137"/>
      <c r="O28" s="137"/>
      <c r="P28" s="137"/>
    </row>
    <row r="29" spans="1:19" ht="15">
      <c r="A29" s="137"/>
      <c r="B29" s="137"/>
      <c r="C29" s="137"/>
      <c r="H29" s="137"/>
      <c r="I29" s="139"/>
      <c r="J29" s="137"/>
      <c r="K29" s="137"/>
      <c r="L29" s="137"/>
      <c r="M29" s="137"/>
      <c r="N29" s="137"/>
      <c r="O29" s="137"/>
      <c r="P29" s="137"/>
    </row>
    <row r="30" spans="1:19" ht="15">
      <c r="A30" s="184" t="s">
        <v>484</v>
      </c>
      <c r="B30" s="137"/>
      <c r="C30" s="137"/>
      <c r="H30" s="137"/>
      <c r="I30" s="139"/>
      <c r="J30" s="137"/>
      <c r="K30" s="137"/>
      <c r="L30" s="137"/>
      <c r="M30" s="137"/>
      <c r="N30" s="137"/>
      <c r="O30" s="137"/>
      <c r="P30" s="137"/>
    </row>
    <row r="31" spans="1:19" ht="15">
      <c r="A31" s="148"/>
      <c r="B31" s="139"/>
      <c r="C31" s="137"/>
      <c r="H31" s="137"/>
      <c r="I31" s="139"/>
      <c r="J31" s="137"/>
      <c r="K31" s="185"/>
      <c r="L31" s="137"/>
      <c r="M31" s="137"/>
      <c r="N31" s="137"/>
      <c r="O31" s="137"/>
      <c r="P31" s="137"/>
    </row>
    <row r="32" spans="1:19" ht="15">
      <c r="A32" s="148"/>
      <c r="B32" s="139"/>
      <c r="C32" s="137"/>
      <c r="H32" s="137"/>
      <c r="I32" s="139"/>
      <c r="J32" s="137"/>
      <c r="K32" s="185"/>
      <c r="L32" s="137"/>
      <c r="M32" s="139"/>
      <c r="N32" s="137"/>
      <c r="O32" s="137"/>
      <c r="P32" s="137"/>
    </row>
    <row r="33" spans="1:16" ht="15.75">
      <c r="A33" s="191" t="s">
        <v>574</v>
      </c>
      <c r="B33" s="137"/>
      <c r="C33" s="137"/>
      <c r="H33" s="137"/>
      <c r="I33" s="137"/>
      <c r="J33" s="137"/>
      <c r="K33" s="185"/>
      <c r="L33" s="137"/>
      <c r="M33" s="139"/>
      <c r="N33" s="137"/>
      <c r="O33" s="139"/>
      <c r="P33" s="137"/>
    </row>
    <row r="34" spans="1:16" ht="15.75">
      <c r="A34" s="138" t="s">
        <v>575</v>
      </c>
      <c r="B34" s="137"/>
      <c r="C34" s="137"/>
      <c r="H34" s="137"/>
      <c r="I34" s="137"/>
      <c r="J34" s="137"/>
      <c r="K34" s="185"/>
      <c r="L34" s="137"/>
      <c r="M34" s="139"/>
      <c r="N34" s="137"/>
      <c r="O34" s="139"/>
      <c r="P34" s="137"/>
    </row>
    <row r="35" spans="1:16" ht="15">
      <c r="A35" s="137"/>
      <c r="B35" s="137"/>
      <c r="C35" s="137"/>
      <c r="H35" s="137"/>
      <c r="I35" s="137"/>
      <c r="J35" s="137"/>
      <c r="K35" s="137"/>
      <c r="L35" s="137"/>
      <c r="M35" s="137"/>
      <c r="N35" s="137"/>
      <c r="O35" s="139"/>
      <c r="P35" s="137"/>
    </row>
    <row r="36" spans="1:16" ht="36.75" customHeight="1">
      <c r="A36" s="195" t="s">
        <v>576</v>
      </c>
      <c r="B36" s="194" t="s">
        <v>550</v>
      </c>
      <c r="C36" s="194" t="s">
        <v>553</v>
      </c>
      <c r="D36" s="194" t="s">
        <v>551</v>
      </c>
      <c r="E36" s="194" t="s">
        <v>552</v>
      </c>
      <c r="H36" s="137"/>
      <c r="I36" s="137"/>
      <c r="N36" s="137"/>
      <c r="O36" s="139"/>
      <c r="P36" s="137"/>
    </row>
    <row r="37" spans="1:16" s="197" customFormat="1" ht="17.25" customHeight="1">
      <c r="A37" s="201"/>
      <c r="B37" s="196"/>
      <c r="C37" s="196"/>
      <c r="D37" s="196"/>
      <c r="E37" s="196"/>
      <c r="H37" s="198"/>
      <c r="I37" s="198"/>
      <c r="N37" s="198"/>
      <c r="O37" s="199"/>
      <c r="P37" s="198"/>
    </row>
    <row r="38" spans="1:16" ht="15.75">
      <c r="A38" s="200" t="s">
        <v>539</v>
      </c>
      <c r="B38" s="137"/>
      <c r="C38" s="137"/>
      <c r="H38" s="137"/>
      <c r="I38" s="137"/>
      <c r="N38" s="137"/>
      <c r="O38" s="139"/>
      <c r="P38" s="137"/>
    </row>
    <row r="39" spans="1:16" ht="15">
      <c r="A39" s="137" t="s">
        <v>546</v>
      </c>
      <c r="B39" s="192">
        <v>409</v>
      </c>
      <c r="C39" s="192">
        <v>409</v>
      </c>
      <c r="D39" s="192">
        <f>409+200</f>
        <v>609</v>
      </c>
      <c r="E39" s="192">
        <v>609</v>
      </c>
      <c r="H39" s="137"/>
      <c r="I39" s="137"/>
      <c r="N39" s="137"/>
      <c r="O39" s="139"/>
      <c r="P39" s="137"/>
    </row>
    <row r="40" spans="1:16" ht="15">
      <c r="A40" s="137" t="s">
        <v>547</v>
      </c>
      <c r="B40" s="192">
        <v>912</v>
      </c>
      <c r="C40" s="192">
        <v>912</v>
      </c>
      <c r="D40" s="192">
        <f>144+50</f>
        <v>194</v>
      </c>
      <c r="E40" s="192">
        <v>194</v>
      </c>
      <c r="H40" s="137"/>
      <c r="I40" s="137"/>
      <c r="N40" s="137"/>
      <c r="O40" s="139"/>
      <c r="P40" s="137"/>
    </row>
    <row r="41" spans="1:16" ht="15">
      <c r="A41" s="137" t="s">
        <v>548</v>
      </c>
      <c r="B41" s="192">
        <v>1938</v>
      </c>
      <c r="C41" s="192">
        <v>1938</v>
      </c>
      <c r="D41" s="192">
        <f>2054+200</f>
        <v>2254</v>
      </c>
      <c r="E41" s="192">
        <v>2254</v>
      </c>
      <c r="H41" s="137"/>
      <c r="I41" s="137"/>
      <c r="N41" s="137"/>
      <c r="O41" s="139"/>
      <c r="P41" s="137"/>
    </row>
    <row r="42" spans="1:16" ht="15">
      <c r="A42" s="137" t="s">
        <v>545</v>
      </c>
      <c r="B42" s="192">
        <v>84</v>
      </c>
      <c r="C42" s="192">
        <v>84</v>
      </c>
      <c r="D42" s="192">
        <v>84</v>
      </c>
      <c r="E42" s="192">
        <v>84</v>
      </c>
      <c r="H42" s="137"/>
      <c r="I42" s="137"/>
      <c r="N42" s="137"/>
      <c r="O42" s="137"/>
      <c r="P42" s="137"/>
    </row>
    <row r="43" spans="1:16" ht="15">
      <c r="A43" s="137" t="s">
        <v>549</v>
      </c>
      <c r="B43" s="192">
        <v>18959</v>
      </c>
      <c r="C43" s="192">
        <v>18959</v>
      </c>
      <c r="D43" s="192">
        <f>18959+3321</f>
        <v>22280</v>
      </c>
      <c r="E43" s="192">
        <f>18959+2147</f>
        <v>21106</v>
      </c>
      <c r="H43" s="137"/>
      <c r="I43" s="137"/>
      <c r="N43" s="137"/>
      <c r="O43" s="137"/>
      <c r="P43" s="137"/>
    </row>
    <row r="44" spans="1:16" ht="15.75">
      <c r="A44" s="140" t="s">
        <v>508</v>
      </c>
      <c r="B44" s="193">
        <f>SUM(B39:B43)</f>
        <v>22302</v>
      </c>
      <c r="C44" s="193">
        <f>SUM(C39:C43)</f>
        <v>22302</v>
      </c>
      <c r="D44" s="193">
        <f>SUM(D39:D43)</f>
        <v>25421</v>
      </c>
      <c r="E44" s="193">
        <f>SUM(E39:E43)</f>
        <v>24247</v>
      </c>
      <c r="H44" s="137"/>
      <c r="I44" s="137"/>
      <c r="N44" s="137"/>
      <c r="O44" s="137"/>
      <c r="P44" s="137"/>
    </row>
    <row r="45" spans="1:16" ht="15">
      <c r="A45" s="148"/>
      <c r="B45" s="137"/>
      <c r="C45" s="137"/>
      <c r="D45" s="137"/>
      <c r="E45" s="137"/>
      <c r="H45" s="137"/>
      <c r="I45" s="137"/>
      <c r="N45" s="137"/>
      <c r="O45" s="137"/>
      <c r="P45" s="137"/>
    </row>
    <row r="46" spans="1:16" ht="15.75">
      <c r="A46" s="138" t="s">
        <v>540</v>
      </c>
      <c r="B46" s="137"/>
      <c r="C46" s="137"/>
      <c r="H46" s="138"/>
      <c r="I46" s="138"/>
      <c r="N46" s="137"/>
      <c r="O46" s="137"/>
      <c r="P46" s="137"/>
    </row>
    <row r="47" spans="1:16" ht="15">
      <c r="A47" s="137" t="s">
        <v>554</v>
      </c>
      <c r="B47" s="137">
        <v>24135</v>
      </c>
      <c r="C47" s="137">
        <v>0</v>
      </c>
      <c r="D47" s="137">
        <v>6948</v>
      </c>
      <c r="E47" s="137">
        <v>0</v>
      </c>
      <c r="H47" s="137"/>
      <c r="I47" s="137"/>
      <c r="N47" s="137"/>
      <c r="O47" s="137"/>
      <c r="P47" s="137"/>
    </row>
    <row r="48" spans="1:16" ht="15">
      <c r="A48" s="137" t="s">
        <v>555</v>
      </c>
      <c r="B48" s="137">
        <v>69</v>
      </c>
      <c r="C48" s="137">
        <v>70</v>
      </c>
      <c r="D48" s="137">
        <v>70</v>
      </c>
      <c r="E48" s="137">
        <v>70</v>
      </c>
      <c r="H48" s="137"/>
      <c r="I48" s="137"/>
      <c r="N48" s="137"/>
      <c r="O48" s="137"/>
      <c r="P48" s="137"/>
    </row>
    <row r="49" spans="1:16" ht="15">
      <c r="A49" s="137" t="s">
        <v>556</v>
      </c>
      <c r="B49" s="137">
        <v>9</v>
      </c>
      <c r="C49" s="137">
        <v>10</v>
      </c>
      <c r="D49" s="137">
        <v>10</v>
      </c>
      <c r="E49" s="137">
        <v>10</v>
      </c>
      <c r="H49" s="137"/>
      <c r="I49" s="137"/>
      <c r="J49" s="137"/>
      <c r="N49" s="137"/>
      <c r="O49" s="137"/>
      <c r="P49" s="137"/>
    </row>
    <row r="50" spans="1:16" ht="15">
      <c r="A50" s="137" t="s">
        <v>557</v>
      </c>
      <c r="B50" s="137">
        <v>1784</v>
      </c>
      <c r="C50" s="137">
        <v>1200</v>
      </c>
      <c r="D50" s="137">
        <v>1200</v>
      </c>
      <c r="E50" s="137">
        <v>1200</v>
      </c>
      <c r="H50" s="137"/>
      <c r="I50" s="137"/>
      <c r="J50" s="137"/>
      <c r="N50" s="137"/>
      <c r="O50" s="137"/>
      <c r="P50" s="137"/>
    </row>
    <row r="51" spans="1:16" ht="15">
      <c r="A51" s="137" t="s">
        <v>558</v>
      </c>
      <c r="B51" s="137">
        <v>5</v>
      </c>
      <c r="C51" s="137">
        <f>100+1504</f>
        <v>1604</v>
      </c>
      <c r="D51" s="137">
        <v>100</v>
      </c>
      <c r="E51" s="137">
        <v>1604</v>
      </c>
      <c r="H51" s="137"/>
      <c r="I51" s="137"/>
      <c r="J51" s="137"/>
      <c r="N51" s="137"/>
      <c r="O51" s="137"/>
      <c r="P51" s="137"/>
    </row>
    <row r="52" spans="1:16" ht="15.75">
      <c r="A52" s="140" t="s">
        <v>508</v>
      </c>
      <c r="B52" s="138">
        <f>SUM(B47:B51)</f>
        <v>26002</v>
      </c>
      <c r="C52" s="138">
        <f>SUM(C47:C51)</f>
        <v>2884</v>
      </c>
      <c r="D52" s="138">
        <f>SUM(D47:D51)</f>
        <v>8328</v>
      </c>
      <c r="E52" s="138">
        <f>SUM(E47:E51)</f>
        <v>2884</v>
      </c>
      <c r="H52" s="137"/>
      <c r="I52" s="137"/>
      <c r="J52" s="137"/>
      <c r="N52" s="137"/>
      <c r="O52" s="137"/>
      <c r="P52" s="137"/>
    </row>
    <row r="53" spans="1:16" ht="15">
      <c r="A53" s="137"/>
      <c r="B53" s="137"/>
      <c r="C53" s="137"/>
      <c r="D53" s="137"/>
      <c r="E53" s="137"/>
      <c r="H53" s="137"/>
      <c r="I53" s="137"/>
      <c r="J53" s="137"/>
      <c r="N53" s="137"/>
      <c r="O53" s="137"/>
      <c r="P53" s="137"/>
    </row>
    <row r="54" spans="1:16" ht="15.75">
      <c r="A54" s="138" t="s">
        <v>541</v>
      </c>
      <c r="B54" s="137"/>
      <c r="C54" s="137"/>
      <c r="H54" s="137"/>
      <c r="I54" s="137"/>
      <c r="J54" s="137"/>
      <c r="N54" s="137"/>
      <c r="O54" s="137"/>
      <c r="P54" s="137"/>
    </row>
    <row r="55" spans="1:16" ht="15">
      <c r="A55" s="137" t="s">
        <v>559</v>
      </c>
      <c r="B55" s="137">
        <v>5587</v>
      </c>
      <c r="C55" s="137">
        <v>5587</v>
      </c>
      <c r="D55" s="185">
        <v>6587</v>
      </c>
      <c r="E55" s="137">
        <v>6587</v>
      </c>
      <c r="H55" s="137"/>
      <c r="I55" s="139"/>
      <c r="J55" s="137"/>
      <c r="N55" s="137"/>
      <c r="O55" s="137"/>
      <c r="P55" s="137"/>
    </row>
    <row r="56" spans="1:16" ht="15">
      <c r="A56" s="137" t="s">
        <v>560</v>
      </c>
      <c r="B56" s="137">
        <v>4805</v>
      </c>
      <c r="C56" s="137">
        <v>5536</v>
      </c>
      <c r="D56" s="137">
        <v>7536</v>
      </c>
      <c r="E56" s="137">
        <v>6536</v>
      </c>
      <c r="H56" s="137"/>
      <c r="I56" s="139"/>
      <c r="J56" s="137"/>
      <c r="N56" s="137"/>
      <c r="O56" s="137"/>
      <c r="P56" s="137"/>
    </row>
    <row r="57" spans="1:16" ht="15">
      <c r="A57" s="137" t="s">
        <v>561</v>
      </c>
      <c r="B57" s="137">
        <v>799</v>
      </c>
      <c r="C57" s="137">
        <v>847</v>
      </c>
      <c r="D57" s="137">
        <f>847+500</f>
        <v>1347</v>
      </c>
      <c r="E57" s="137">
        <v>1347</v>
      </c>
      <c r="H57" s="137"/>
      <c r="I57" s="139"/>
      <c r="J57" s="137"/>
      <c r="N57" s="137"/>
      <c r="O57" s="137"/>
      <c r="P57" s="137"/>
    </row>
    <row r="58" spans="1:16" ht="15">
      <c r="A58" s="137" t="s">
        <v>562</v>
      </c>
      <c r="B58" s="137">
        <v>1359</v>
      </c>
      <c r="C58" s="137">
        <v>1359</v>
      </c>
      <c r="D58" s="137">
        <f>1359+500+3363</f>
        <v>5222</v>
      </c>
      <c r="E58" s="137">
        <v>5222</v>
      </c>
      <c r="H58" s="137"/>
      <c r="I58" s="139"/>
      <c r="J58" s="137"/>
      <c r="N58" s="137"/>
      <c r="O58" s="139"/>
      <c r="P58" s="137"/>
    </row>
    <row r="59" spans="1:16" ht="15">
      <c r="A59" s="137" t="s">
        <v>563</v>
      </c>
      <c r="B59" s="137">
        <v>35</v>
      </c>
      <c r="C59" s="137">
        <v>35</v>
      </c>
      <c r="D59" s="137">
        <f>35+100</f>
        <v>135</v>
      </c>
      <c r="E59" s="137">
        <v>135</v>
      </c>
      <c r="H59" s="137"/>
      <c r="I59" s="139"/>
      <c r="J59" s="137"/>
      <c r="N59" s="137"/>
      <c r="O59" s="139"/>
      <c r="P59" s="137"/>
    </row>
    <row r="60" spans="1:16" ht="15">
      <c r="A60" s="137" t="s">
        <v>564</v>
      </c>
      <c r="B60" s="137">
        <v>699</v>
      </c>
      <c r="C60" s="137">
        <v>699</v>
      </c>
      <c r="D60" s="137">
        <f>699+400</f>
        <v>1099</v>
      </c>
      <c r="E60" s="137">
        <v>1099</v>
      </c>
      <c r="H60" s="137"/>
      <c r="I60" s="139"/>
      <c r="J60" s="137"/>
      <c r="N60" s="137"/>
      <c r="O60" s="139"/>
      <c r="P60" s="137"/>
    </row>
    <row r="61" spans="1:16" ht="15">
      <c r="A61" s="137" t="s">
        <v>565</v>
      </c>
      <c r="B61" s="137">
        <v>516</v>
      </c>
      <c r="C61" s="137">
        <v>516</v>
      </c>
      <c r="D61" s="137">
        <v>516</v>
      </c>
      <c r="E61" s="137">
        <v>516</v>
      </c>
      <c r="H61" s="137"/>
      <c r="I61" s="139"/>
      <c r="J61" s="137"/>
      <c r="N61" s="137"/>
      <c r="O61" s="139"/>
      <c r="P61" s="137"/>
    </row>
    <row r="62" spans="1:16" ht="15">
      <c r="A62" s="137" t="s">
        <v>566</v>
      </c>
      <c r="B62" s="137">
        <v>6</v>
      </c>
      <c r="C62" s="137">
        <v>6</v>
      </c>
      <c r="D62" s="137">
        <v>6</v>
      </c>
      <c r="E62" s="137">
        <v>6</v>
      </c>
      <c r="H62" s="137"/>
      <c r="I62" s="139"/>
      <c r="J62" s="137"/>
      <c r="N62" s="137"/>
      <c r="O62" s="139"/>
      <c r="P62" s="137"/>
    </row>
    <row r="63" spans="1:16" ht="15">
      <c r="A63" s="137" t="s">
        <v>567</v>
      </c>
      <c r="B63" s="137">
        <v>9001</v>
      </c>
      <c r="C63" s="137">
        <v>3164</v>
      </c>
      <c r="D63" s="137">
        <v>9001</v>
      </c>
      <c r="E63" s="137">
        <v>9001</v>
      </c>
      <c r="H63" s="137"/>
      <c r="I63" s="139"/>
      <c r="J63" s="137"/>
      <c r="N63" s="137"/>
      <c r="O63" s="139"/>
      <c r="P63" s="137"/>
    </row>
    <row r="64" spans="1:16" ht="15.75">
      <c r="A64" s="140" t="s">
        <v>508</v>
      </c>
      <c r="B64" s="138">
        <f>SUM(B55:B63)</f>
        <v>22807</v>
      </c>
      <c r="C64" s="138">
        <f>SUM(C55:C63)</f>
        <v>17749</v>
      </c>
      <c r="D64" s="138">
        <f>SUM(D55:D63)</f>
        <v>31449</v>
      </c>
      <c r="E64" s="138">
        <f>SUM(E55:E63)</f>
        <v>30449</v>
      </c>
      <c r="G64" s="138"/>
      <c r="H64" s="137"/>
      <c r="I64" s="139"/>
      <c r="J64" s="137"/>
      <c r="N64" s="137"/>
      <c r="O64" s="139"/>
      <c r="P64" s="137"/>
    </row>
    <row r="65" spans="1:16" ht="15.75">
      <c r="A65" s="140"/>
      <c r="B65" s="138"/>
      <c r="C65" s="138"/>
      <c r="D65" s="138"/>
      <c r="E65" s="138"/>
      <c r="H65" s="137"/>
      <c r="I65" s="139"/>
      <c r="J65" s="137"/>
      <c r="N65" s="137"/>
      <c r="O65" s="139"/>
      <c r="P65" s="137"/>
    </row>
    <row r="66" spans="1:16" ht="15.75">
      <c r="A66" s="138" t="s">
        <v>568</v>
      </c>
      <c r="B66" s="137"/>
      <c r="C66" s="137"/>
      <c r="H66" s="137"/>
      <c r="I66" s="139"/>
      <c r="J66" s="137"/>
      <c r="N66" s="137"/>
      <c r="O66" s="139"/>
      <c r="P66" s="137"/>
    </row>
    <row r="67" spans="1:16" ht="15">
      <c r="A67" s="137" t="s">
        <v>527</v>
      </c>
      <c r="B67" s="137">
        <v>11197</v>
      </c>
      <c r="C67" s="137">
        <v>0</v>
      </c>
      <c r="D67" s="137">
        <v>0</v>
      </c>
      <c r="E67" s="137">
        <v>0</v>
      </c>
      <c r="H67" s="137"/>
      <c r="I67" s="139"/>
      <c r="J67" s="137"/>
      <c r="N67" s="142"/>
      <c r="O67" s="139"/>
      <c r="P67" s="137"/>
    </row>
    <row r="68" spans="1:16" ht="15" customHeight="1">
      <c r="A68" s="137" t="s">
        <v>569</v>
      </c>
      <c r="B68" s="137">
        <v>219</v>
      </c>
      <c r="C68" s="137">
        <v>232</v>
      </c>
      <c r="D68" s="137">
        <v>246</v>
      </c>
      <c r="E68" s="137">
        <v>261</v>
      </c>
      <c r="H68" s="137"/>
      <c r="I68" s="139"/>
      <c r="J68" s="137"/>
      <c r="N68" s="142"/>
      <c r="O68" s="139"/>
      <c r="P68" s="137"/>
    </row>
    <row r="69" spans="1:16" ht="15">
      <c r="A69" s="137" t="s">
        <v>571</v>
      </c>
      <c r="B69" s="137">
        <v>111</v>
      </c>
      <c r="C69" s="137">
        <v>121</v>
      </c>
      <c r="D69" s="137">
        <v>131</v>
      </c>
      <c r="E69" s="137">
        <v>146</v>
      </c>
      <c r="H69" s="137"/>
      <c r="I69" s="139"/>
      <c r="J69" s="137"/>
      <c r="N69" s="137"/>
      <c r="O69" s="139"/>
      <c r="P69" s="137"/>
    </row>
    <row r="70" spans="1:16" ht="15">
      <c r="A70" s="137" t="s">
        <v>572</v>
      </c>
      <c r="B70" s="137">
        <v>158</v>
      </c>
      <c r="C70" s="137">
        <v>160</v>
      </c>
      <c r="D70" s="137">
        <v>170</v>
      </c>
      <c r="E70" s="137">
        <v>180</v>
      </c>
      <c r="H70" s="137"/>
      <c r="I70" s="139"/>
      <c r="J70" s="137"/>
      <c r="N70" s="137"/>
      <c r="O70" s="139"/>
      <c r="P70" s="137"/>
    </row>
    <row r="71" spans="1:16" ht="15">
      <c r="A71" s="137" t="s">
        <v>573</v>
      </c>
      <c r="B71" s="137">
        <v>26</v>
      </c>
      <c r="C71" s="137">
        <v>26</v>
      </c>
      <c r="D71" s="137">
        <v>26</v>
      </c>
      <c r="E71" s="137">
        <v>26</v>
      </c>
      <c r="H71" s="137"/>
      <c r="I71" s="139"/>
      <c r="J71" s="137"/>
      <c r="N71" s="137"/>
      <c r="O71" s="139"/>
      <c r="P71" s="137"/>
    </row>
    <row r="72" spans="1:16" ht="15">
      <c r="A72" s="137" t="s">
        <v>570</v>
      </c>
      <c r="B72" s="137">
        <v>19</v>
      </c>
      <c r="C72" s="137">
        <v>19</v>
      </c>
      <c r="D72" s="137">
        <v>19</v>
      </c>
      <c r="E72" s="137">
        <v>19</v>
      </c>
      <c r="F72" s="137"/>
      <c r="H72" s="137"/>
      <c r="I72" s="139"/>
      <c r="J72" s="137"/>
      <c r="N72" s="142"/>
      <c r="O72" s="139"/>
      <c r="P72" s="137"/>
    </row>
    <row r="73" spans="1:16" ht="15.75">
      <c r="A73" s="140" t="s">
        <v>508</v>
      </c>
      <c r="B73" s="137">
        <f>SUM(B67:B72)</f>
        <v>11730</v>
      </c>
      <c r="C73" s="137">
        <f>SUM(C67:C72)</f>
        <v>558</v>
      </c>
      <c r="D73" s="137">
        <f>SUM(D67:D72)</f>
        <v>592</v>
      </c>
      <c r="E73" s="137">
        <f>SUM(E67:E72)</f>
        <v>632</v>
      </c>
      <c r="H73" s="137"/>
      <c r="I73" s="139"/>
      <c r="J73" s="137"/>
      <c r="N73" s="137"/>
      <c r="O73" s="137"/>
      <c r="P73" s="137"/>
    </row>
    <row r="74" spans="1:16" ht="15">
      <c r="A74" s="137"/>
      <c r="B74" s="137"/>
      <c r="C74" s="137"/>
      <c r="D74" s="137"/>
      <c r="E74" s="137"/>
      <c r="H74" s="137"/>
      <c r="I74" s="139"/>
      <c r="J74" s="137"/>
      <c r="N74" s="137"/>
      <c r="O74" s="139"/>
      <c r="P74" s="137"/>
    </row>
    <row r="75" spans="1:16" ht="15">
      <c r="A75" s="137" t="s">
        <v>481</v>
      </c>
      <c r="B75" s="137" t="s">
        <v>482</v>
      </c>
      <c r="C75" s="137"/>
      <c r="H75" s="137"/>
      <c r="I75" s="139"/>
      <c r="J75" s="137"/>
      <c r="N75" s="137"/>
      <c r="O75" s="137"/>
      <c r="P75" s="137"/>
    </row>
    <row r="76" spans="1:16" ht="15.75">
      <c r="A76" s="137"/>
      <c r="B76" s="137"/>
      <c r="C76" s="137"/>
      <c r="H76" s="140"/>
      <c r="I76" s="141"/>
      <c r="J76" s="138"/>
      <c r="N76" s="137"/>
      <c r="O76" s="137"/>
      <c r="P76" s="137"/>
    </row>
    <row r="77" spans="1:16" ht="15">
      <c r="A77" s="184" t="s">
        <v>484</v>
      </c>
      <c r="B77" s="137"/>
      <c r="C77" s="137"/>
      <c r="N77" s="137"/>
      <c r="O77" s="137"/>
      <c r="P77" s="137"/>
    </row>
    <row r="78" spans="1:16" ht="15">
      <c r="A78" s="137"/>
      <c r="B78" s="137"/>
      <c r="C78" s="137"/>
      <c r="N78" s="137"/>
      <c r="O78" s="137"/>
      <c r="P78" s="137"/>
    </row>
    <row r="79" spans="1:16" ht="15">
      <c r="A79" s="137"/>
      <c r="B79" s="137"/>
      <c r="C79" s="137"/>
      <c r="J79" s="137"/>
      <c r="K79" s="137"/>
      <c r="L79" s="139"/>
      <c r="M79" s="137"/>
      <c r="N79" s="137"/>
      <c r="O79" s="137"/>
    </row>
    <row r="80" spans="1:16" ht="15">
      <c r="A80" s="137"/>
      <c r="B80" s="137"/>
      <c r="C80" s="137"/>
      <c r="J80" s="137"/>
      <c r="K80" s="137"/>
      <c r="L80" s="139"/>
      <c r="M80" s="137"/>
      <c r="N80" s="137"/>
      <c r="O80" s="137"/>
    </row>
    <row r="81" spans="1:15" ht="15">
      <c r="A81" s="137"/>
      <c r="B81" s="137"/>
      <c r="C81" s="137"/>
      <c r="J81" s="137"/>
      <c r="K81" s="137"/>
      <c r="L81" s="139"/>
      <c r="M81" s="137"/>
      <c r="N81" s="137"/>
      <c r="O81" s="137"/>
    </row>
    <row r="82" spans="1:15" ht="15">
      <c r="A82" s="137"/>
      <c r="B82" s="137"/>
      <c r="C82" s="137"/>
      <c r="J82" s="137"/>
      <c r="K82" s="137"/>
      <c r="L82" s="139"/>
      <c r="M82" s="137"/>
      <c r="N82" s="137"/>
      <c r="O82" s="137"/>
    </row>
    <row r="83" spans="1:15" ht="15">
      <c r="A83" s="137"/>
      <c r="B83" s="137"/>
      <c r="C83" s="137"/>
      <c r="J83" s="137"/>
      <c r="K83" s="137"/>
      <c r="L83" s="139"/>
      <c r="M83" s="137"/>
      <c r="N83" s="137"/>
      <c r="O83" s="137"/>
    </row>
    <row r="84" spans="1:15" ht="15">
      <c r="J84" s="137"/>
      <c r="K84" s="137"/>
      <c r="L84" s="139"/>
      <c r="M84" s="137"/>
      <c r="N84" s="137"/>
      <c r="O84" s="137"/>
    </row>
    <row r="85" spans="1:15" ht="15.75">
      <c r="J85" s="137"/>
      <c r="K85" s="140"/>
      <c r="L85" s="141"/>
      <c r="M85" s="137"/>
      <c r="N85" s="137"/>
      <c r="O85" s="137"/>
    </row>
    <row r="86" spans="1:15" ht="15">
      <c r="J86" s="137"/>
      <c r="K86" s="137"/>
      <c r="L86" s="137"/>
      <c r="M86" s="137"/>
      <c r="N86" s="137"/>
      <c r="O86" s="137"/>
    </row>
    <row r="87" spans="1:15" ht="15">
      <c r="J87" s="137"/>
      <c r="K87" s="137"/>
      <c r="L87" s="137"/>
      <c r="M87" s="137"/>
      <c r="N87" s="137"/>
      <c r="O87" s="137"/>
    </row>
    <row r="88" spans="1:15" ht="15">
      <c r="J88" s="137"/>
      <c r="K88" s="137"/>
      <c r="L88" s="137"/>
      <c r="M88" s="137"/>
    </row>
    <row r="89" spans="1:15" ht="15">
      <c r="J89" s="137"/>
      <c r="K89" s="137"/>
      <c r="L89" s="137"/>
      <c r="M89" s="137"/>
    </row>
    <row r="90" spans="1:15" ht="15">
      <c r="J90" s="137"/>
      <c r="K90" s="137"/>
      <c r="L90" s="137"/>
      <c r="M90" s="137"/>
    </row>
    <row r="91" spans="1:15" ht="15">
      <c r="J91" s="137"/>
      <c r="K91" s="137"/>
      <c r="L91" s="137"/>
      <c r="M91" s="137"/>
    </row>
    <row r="92" spans="1:15" ht="15">
      <c r="J92" s="137"/>
      <c r="K92" s="137"/>
      <c r="L92" s="137"/>
      <c r="M92" s="137"/>
    </row>
    <row r="93" spans="1:15" ht="15">
      <c r="J93" s="137"/>
      <c r="K93" s="137"/>
      <c r="L93" s="137"/>
      <c r="M93" s="137"/>
    </row>
    <row r="94" spans="1:15" ht="15">
      <c r="K94" s="137"/>
      <c r="L94" s="139"/>
      <c r="M94" s="137"/>
    </row>
    <row r="95" spans="1:15" ht="15">
      <c r="K95" s="137"/>
      <c r="L95" s="139"/>
      <c r="M95" s="137"/>
    </row>
    <row r="96" spans="1:15" ht="15">
      <c r="K96" s="137"/>
      <c r="L96" s="139"/>
      <c r="M96" s="137"/>
    </row>
    <row r="97" spans="11:14" ht="15">
      <c r="K97" s="137"/>
      <c r="L97" s="139"/>
      <c r="M97" s="137"/>
    </row>
    <row r="98" spans="11:14" ht="15">
      <c r="K98" s="142"/>
      <c r="L98" s="139"/>
      <c r="M98" s="137"/>
    </row>
    <row r="99" spans="11:14" ht="18" customHeight="1">
      <c r="K99" s="142"/>
      <c r="L99" s="139"/>
      <c r="M99" s="137"/>
    </row>
    <row r="100" spans="11:14" ht="15">
      <c r="K100" s="137"/>
      <c r="L100" s="139"/>
      <c r="M100" s="137"/>
    </row>
    <row r="101" spans="11:14" ht="15">
      <c r="K101" s="137"/>
      <c r="L101" s="139"/>
      <c r="M101" s="137"/>
    </row>
    <row r="102" spans="11:14" ht="15">
      <c r="K102" s="137"/>
      <c r="L102" s="139"/>
      <c r="M102" s="137"/>
    </row>
    <row r="103" spans="11:14" ht="15">
      <c r="K103" s="142"/>
      <c r="L103" s="139"/>
      <c r="M103" s="137"/>
      <c r="N103" s="147"/>
    </row>
    <row r="104" spans="11:14" ht="15">
      <c r="K104" s="137"/>
      <c r="L104" s="139"/>
      <c r="M104" s="137"/>
    </row>
    <row r="105" spans="11:14" ht="15">
      <c r="K105" s="137"/>
      <c r="L105" s="139"/>
      <c r="M105" s="137"/>
    </row>
    <row r="106" spans="11:14" ht="15">
      <c r="K106" s="137"/>
      <c r="L106" s="139"/>
      <c r="M106" s="137"/>
    </row>
    <row r="107" spans="11:14" ht="15">
      <c r="K107" s="137"/>
      <c r="L107" s="139"/>
      <c r="M107" s="137"/>
    </row>
    <row r="108" spans="11:14" ht="15">
      <c r="K108" s="137"/>
      <c r="L108" s="139"/>
      <c r="M108" s="137"/>
    </row>
    <row r="109" spans="11:14" ht="15">
      <c r="K109" s="137"/>
      <c r="L109" s="139"/>
      <c r="M109" s="137"/>
    </row>
    <row r="110" spans="11:14" ht="15.75">
      <c r="K110" s="138"/>
      <c r="L110" s="141"/>
      <c r="M110" s="137"/>
    </row>
    <row r="116" spans="1:3" ht="15">
      <c r="A116" s="137" t="s">
        <v>509</v>
      </c>
      <c r="B116" s="137"/>
    </row>
    <row r="117" spans="1:3" ht="15">
      <c r="A117" s="137" t="s">
        <v>510</v>
      </c>
      <c r="B117" s="137"/>
    </row>
    <row r="118" spans="1:3" ht="15">
      <c r="A118" s="137"/>
      <c r="B118" s="137"/>
      <c r="C118" s="137"/>
    </row>
    <row r="119" spans="1:3" ht="15">
      <c r="A119" s="137" t="s">
        <v>416</v>
      </c>
      <c r="B119" s="139">
        <f>1670.9-B120</f>
        <v>69.921000000000049</v>
      </c>
      <c r="C119" s="137"/>
    </row>
    <row r="120" spans="1:3" ht="15">
      <c r="A120" s="137" t="s">
        <v>417</v>
      </c>
      <c r="B120" s="139">
        <f>1595.9+5.079</f>
        <v>1600.979</v>
      </c>
      <c r="C120" s="137"/>
    </row>
    <row r="121" spans="1:3" ht="15">
      <c r="A121" s="137" t="s">
        <v>418</v>
      </c>
      <c r="B121" s="139">
        <v>35.1</v>
      </c>
      <c r="C121" s="137"/>
    </row>
    <row r="122" spans="1:3" ht="15">
      <c r="A122" s="137" t="s">
        <v>419</v>
      </c>
      <c r="B122" s="139">
        <v>46.8</v>
      </c>
      <c r="C122" s="137"/>
    </row>
    <row r="123" spans="1:3" ht="15">
      <c r="A123" s="137" t="s">
        <v>516</v>
      </c>
      <c r="B123" s="139">
        <v>677.5</v>
      </c>
      <c r="C123" s="137"/>
    </row>
    <row r="124" spans="1:3" ht="15">
      <c r="A124" s="137" t="s">
        <v>517</v>
      </c>
      <c r="B124" s="139">
        <f>61.144+0.603+26.594+68.79</f>
        <v>157.13100000000003</v>
      </c>
      <c r="C124" s="137"/>
    </row>
    <row r="125" spans="1:3" ht="15">
      <c r="A125" s="137" t="s">
        <v>518</v>
      </c>
      <c r="B125" s="139">
        <v>351.5</v>
      </c>
      <c r="C125" s="137"/>
    </row>
    <row r="126" spans="1:3" ht="15">
      <c r="A126" s="137" t="s">
        <v>461</v>
      </c>
      <c r="B126" s="139">
        <f>B127+B128+B129+B130+B131</f>
        <v>28146</v>
      </c>
      <c r="C126" s="137"/>
    </row>
    <row r="127" spans="1:3" ht="15">
      <c r="A127" s="137" t="s">
        <v>511</v>
      </c>
      <c r="B127" s="139">
        <v>2605.1999999999998</v>
      </c>
      <c r="C127" s="137"/>
    </row>
    <row r="128" spans="1:3" ht="15">
      <c r="A128" s="137" t="s">
        <v>512</v>
      </c>
      <c r="B128" s="139">
        <v>333.9</v>
      </c>
      <c r="C128" s="137"/>
    </row>
    <row r="129" spans="1:10" ht="15">
      <c r="A129" s="137" t="s">
        <v>513</v>
      </c>
      <c r="B129" s="139">
        <v>487.4</v>
      </c>
      <c r="C129" s="137"/>
    </row>
    <row r="130" spans="1:10" ht="15">
      <c r="A130" s="137" t="s">
        <v>514</v>
      </c>
      <c r="B130" s="139">
        <v>1727.6</v>
      </c>
      <c r="C130" s="137"/>
    </row>
    <row r="131" spans="1:10" ht="15">
      <c r="A131" s="137" t="s">
        <v>515</v>
      </c>
      <c r="B131" s="139">
        <f>8345.8+14646.1</f>
        <v>22991.9</v>
      </c>
      <c r="C131" s="137"/>
    </row>
    <row r="132" spans="1:10" ht="15.75">
      <c r="A132" s="140" t="s">
        <v>508</v>
      </c>
      <c r="B132" s="141">
        <f>B119+B120+B121+B122+B123+B124+B125+B126</f>
        <v>31084.931</v>
      </c>
      <c r="C132" s="137"/>
    </row>
    <row r="133" spans="1:10" ht="15">
      <c r="A133" s="137"/>
      <c r="B133" s="137"/>
      <c r="C133" s="137"/>
    </row>
    <row r="134" spans="1:10" ht="15">
      <c r="A134" s="137" t="s">
        <v>519</v>
      </c>
      <c r="B134" s="137"/>
    </row>
    <row r="135" spans="1:10" ht="15">
      <c r="A135" s="137" t="s">
        <v>520</v>
      </c>
      <c r="B135" s="137"/>
    </row>
    <row r="136" spans="1:10" ht="15">
      <c r="A136" s="137"/>
      <c r="B136" s="137"/>
      <c r="C136" s="137"/>
    </row>
    <row r="137" spans="1:10" ht="15">
      <c r="A137" s="137" t="s">
        <v>416</v>
      </c>
      <c r="B137" s="139">
        <v>52</v>
      </c>
      <c r="C137" s="137"/>
    </row>
    <row r="138" spans="1:10" ht="15">
      <c r="A138" s="137" t="s">
        <v>417</v>
      </c>
      <c r="B138" s="139">
        <v>1200</v>
      </c>
      <c r="C138" s="137"/>
    </row>
    <row r="139" spans="1:10" ht="15">
      <c r="A139" s="137" t="s">
        <v>418</v>
      </c>
      <c r="B139" s="139">
        <f>8.883*4</f>
        <v>35.531999999999996</v>
      </c>
      <c r="C139" s="137"/>
    </row>
    <row r="140" spans="1:10" ht="15">
      <c r="A140" s="137" t="s">
        <v>419</v>
      </c>
      <c r="B140" s="139">
        <f>12.847*4</f>
        <v>51.387999999999998</v>
      </c>
      <c r="C140" s="137"/>
    </row>
    <row r="141" spans="1:10" ht="15">
      <c r="A141" s="137" t="s">
        <v>461</v>
      </c>
      <c r="B141" s="139">
        <f>B142+B143+B144+B145</f>
        <v>24247.338</v>
      </c>
      <c r="C141" s="137"/>
    </row>
    <row r="142" spans="1:10" ht="15">
      <c r="A142" s="137" t="s">
        <v>455</v>
      </c>
      <c r="B142" s="139">
        <v>8812.5380000000005</v>
      </c>
      <c r="C142" s="137"/>
      <c r="H142" s="137"/>
      <c r="I142" s="137"/>
      <c r="J142" s="137"/>
    </row>
    <row r="143" spans="1:10" ht="15">
      <c r="A143" s="137" t="s">
        <v>456</v>
      </c>
      <c r="B143" s="139">
        <f>10500-3500</f>
        <v>7000</v>
      </c>
      <c r="C143" s="137"/>
      <c r="H143" s="137"/>
      <c r="I143" s="137"/>
      <c r="J143" s="137"/>
    </row>
    <row r="144" spans="1:10" ht="15">
      <c r="A144" s="137" t="s">
        <v>459</v>
      </c>
      <c r="B144" s="139">
        <f>83.9*12</f>
        <v>1006.8000000000001</v>
      </c>
      <c r="C144" s="137"/>
      <c r="H144" s="137"/>
      <c r="I144" s="137"/>
      <c r="J144" s="137"/>
    </row>
    <row r="145" spans="1:10" ht="15">
      <c r="A145" s="137" t="s">
        <v>460</v>
      </c>
      <c r="B145" s="139">
        <f>619*12</f>
        <v>7428</v>
      </c>
      <c r="C145" s="137"/>
      <c r="H145" s="137"/>
      <c r="I145" s="137"/>
      <c r="J145" s="137"/>
    </row>
    <row r="146" spans="1:10" ht="15">
      <c r="A146" s="137"/>
      <c r="B146" s="139"/>
      <c r="C146" s="137"/>
      <c r="H146" s="137"/>
      <c r="I146" s="139"/>
    </row>
    <row r="147" spans="1:10" ht="15.75">
      <c r="A147" s="140" t="s">
        <v>522</v>
      </c>
      <c r="B147" s="141">
        <f>B137+B138+B139+B140+B141</f>
        <v>25586.257999999998</v>
      </c>
      <c r="C147" s="137"/>
      <c r="H147" s="137"/>
      <c r="I147" s="139"/>
    </row>
    <row r="148" spans="1:10" ht="15">
      <c r="A148" s="137"/>
      <c r="B148" s="137"/>
      <c r="C148" s="137"/>
      <c r="H148" s="137"/>
      <c r="I148" s="139"/>
    </row>
    <row r="149" spans="1:10" ht="15">
      <c r="A149" s="137" t="s">
        <v>509</v>
      </c>
      <c r="B149" s="137"/>
    </row>
    <row r="150" spans="1:10" ht="15">
      <c r="A150" s="137" t="s">
        <v>521</v>
      </c>
      <c r="B150" s="137"/>
    </row>
    <row r="151" spans="1:10" ht="15">
      <c r="A151" s="137"/>
      <c r="B151" s="137"/>
      <c r="C151" s="137"/>
    </row>
    <row r="152" spans="1:10" ht="15">
      <c r="A152" s="137" t="s">
        <v>416</v>
      </c>
      <c r="B152" s="139">
        <v>52</v>
      </c>
      <c r="C152" s="137"/>
    </row>
    <row r="153" spans="1:10" ht="15">
      <c r="A153" s="137" t="s">
        <v>417</v>
      </c>
      <c r="B153" s="139">
        <f>200*4</f>
        <v>800</v>
      </c>
      <c r="C153" s="137"/>
    </row>
    <row r="154" spans="1:10" ht="15">
      <c r="A154" s="137" t="s">
        <v>418</v>
      </c>
      <c r="B154" s="139">
        <f>8.883*4</f>
        <v>35.531999999999996</v>
      </c>
      <c r="C154" s="137"/>
    </row>
    <row r="155" spans="1:10" ht="15">
      <c r="A155" s="137" t="s">
        <v>419</v>
      </c>
      <c r="B155" s="139">
        <f>12.847*4</f>
        <v>51.387999999999998</v>
      </c>
      <c r="C155" s="137"/>
    </row>
    <row r="156" spans="1:10" ht="15">
      <c r="A156" s="137" t="s">
        <v>461</v>
      </c>
      <c r="B156" s="139">
        <f>B157+B158+B159+B160</f>
        <v>24247.338</v>
      </c>
      <c r="C156" s="137"/>
    </row>
    <row r="157" spans="1:10" ht="15">
      <c r="A157" s="137" t="s">
        <v>455</v>
      </c>
      <c r="B157" s="139">
        <v>8812.5380000000005</v>
      </c>
      <c r="C157" s="137"/>
    </row>
    <row r="158" spans="1:10" ht="15">
      <c r="A158" s="137" t="s">
        <v>456</v>
      </c>
      <c r="B158" s="139">
        <f>10500-3500</f>
        <v>7000</v>
      </c>
      <c r="C158" s="137"/>
    </row>
    <row r="159" spans="1:10" ht="15">
      <c r="A159" s="137" t="s">
        <v>459</v>
      </c>
      <c r="B159" s="139">
        <f>83.9*12</f>
        <v>1006.8000000000001</v>
      </c>
      <c r="C159" s="137"/>
    </row>
    <row r="160" spans="1:10" ht="15">
      <c r="A160" s="137" t="s">
        <v>460</v>
      </c>
      <c r="B160" s="139">
        <f>619*12</f>
        <v>7428</v>
      </c>
      <c r="C160" s="137"/>
    </row>
    <row r="161" spans="1:3" ht="15">
      <c r="A161" s="137"/>
      <c r="B161" s="139"/>
      <c r="C161" s="137"/>
    </row>
    <row r="162" spans="1:3" ht="15.75">
      <c r="A162" s="140" t="s">
        <v>522</v>
      </c>
      <c r="B162" s="141">
        <f>B152+B153+B154+B155+B156</f>
        <v>25186.258000000002</v>
      </c>
      <c r="C162" s="137"/>
    </row>
    <row r="163" spans="1:3" ht="15">
      <c r="A163" s="148"/>
      <c r="B163" s="139"/>
      <c r="C163" s="137"/>
    </row>
    <row r="164" spans="1:3" ht="15">
      <c r="A164" s="137" t="s">
        <v>481</v>
      </c>
      <c r="B164" s="137" t="s">
        <v>482</v>
      </c>
      <c r="C164" s="137"/>
    </row>
    <row r="165" spans="1:3" ht="15">
      <c r="A165" s="137"/>
      <c r="B165" s="137"/>
      <c r="C165" s="137"/>
    </row>
    <row r="166" spans="1:3" ht="15">
      <c r="A166" s="184" t="s">
        <v>484</v>
      </c>
      <c r="B166" s="137"/>
      <c r="C166" s="137"/>
    </row>
    <row r="167" spans="1:3" ht="15">
      <c r="A167" s="148"/>
      <c r="B167" s="139"/>
      <c r="C167" s="137"/>
    </row>
    <row r="168" spans="1:3" ht="15">
      <c r="A168" s="148"/>
      <c r="B168" s="139"/>
      <c r="C168" s="137"/>
    </row>
    <row r="169" spans="1:3" ht="15">
      <c r="A169" s="137" t="s">
        <v>519</v>
      </c>
      <c r="B169" s="137"/>
    </row>
    <row r="170" spans="1:3" ht="15">
      <c r="A170" s="137" t="s">
        <v>525</v>
      </c>
      <c r="B170" s="137"/>
    </row>
    <row r="171" spans="1:3" ht="15">
      <c r="A171" s="137"/>
      <c r="B171" s="137"/>
      <c r="C171" s="137"/>
    </row>
    <row r="172" spans="1:3" ht="15">
      <c r="A172" s="137" t="s">
        <v>421</v>
      </c>
      <c r="B172" s="139">
        <f>155.904+249.01+134.9</f>
        <v>539.81399999999996</v>
      </c>
      <c r="C172" s="137"/>
    </row>
    <row r="173" spans="1:3" ht="15">
      <c r="A173" s="137" t="s">
        <v>422</v>
      </c>
      <c r="B173" s="139">
        <v>323.10000000000002</v>
      </c>
      <c r="C173" s="137"/>
    </row>
    <row r="174" spans="1:3" ht="15">
      <c r="A174" s="142" t="s">
        <v>426</v>
      </c>
      <c r="B174" s="139">
        <v>4714.415</v>
      </c>
      <c r="C174" s="137"/>
    </row>
    <row r="175" spans="1:3" ht="15">
      <c r="A175" s="142" t="s">
        <v>423</v>
      </c>
      <c r="B175" s="139">
        <f>158.401+103.611</f>
        <v>262.012</v>
      </c>
      <c r="C175" s="137"/>
    </row>
    <row r="176" spans="1:3" ht="15">
      <c r="A176" s="137" t="s">
        <v>527</v>
      </c>
      <c r="B176" s="139">
        <f>11185.6+1.255</f>
        <v>11186.855</v>
      </c>
      <c r="C176" s="137"/>
    </row>
    <row r="177" spans="1:3" ht="15">
      <c r="A177" s="137" t="s">
        <v>416</v>
      </c>
      <c r="B177" s="139">
        <v>41.4</v>
      </c>
      <c r="C177" s="137"/>
    </row>
    <row r="178" spans="1:3" ht="15">
      <c r="A178" s="137" t="s">
        <v>420</v>
      </c>
      <c r="B178" s="139">
        <v>705.24300000000005</v>
      </c>
      <c r="C178" s="137"/>
    </row>
    <row r="179" spans="1:3" ht="15">
      <c r="A179" s="142" t="s">
        <v>528</v>
      </c>
      <c r="B179" s="139">
        <f>8.87+8.2</f>
        <v>17.07</v>
      </c>
      <c r="C179" s="137"/>
    </row>
    <row r="180" spans="1:3" ht="15">
      <c r="A180" s="142" t="s">
        <v>529</v>
      </c>
      <c r="B180" s="139">
        <v>62</v>
      </c>
      <c r="C180" s="137"/>
    </row>
    <row r="181" spans="1:3" ht="15">
      <c r="A181" s="142" t="s">
        <v>530</v>
      </c>
      <c r="B181" s="139">
        <v>6209.9949999999999</v>
      </c>
      <c r="C181" s="137"/>
    </row>
    <row r="182" spans="1:3" ht="15">
      <c r="A182" s="142" t="s">
        <v>531</v>
      </c>
      <c r="B182" s="139">
        <v>22.053000000000001</v>
      </c>
      <c r="C182" s="137"/>
    </row>
    <row r="183" spans="1:3" ht="15">
      <c r="A183" s="142" t="s">
        <v>533</v>
      </c>
      <c r="B183" s="139">
        <v>835</v>
      </c>
      <c r="C183" s="137"/>
    </row>
    <row r="184" spans="1:3" ht="15">
      <c r="A184" s="142" t="s">
        <v>532</v>
      </c>
      <c r="B184" s="139">
        <v>360.25900000000001</v>
      </c>
      <c r="C184" s="137"/>
    </row>
    <row r="185" spans="1:3" ht="15">
      <c r="A185" s="137" t="s">
        <v>461</v>
      </c>
      <c r="B185" s="139">
        <f>B186</f>
        <v>1727.5</v>
      </c>
      <c r="C185" s="137"/>
    </row>
    <row r="186" spans="1:3" ht="15">
      <c r="A186" s="137" t="s">
        <v>526</v>
      </c>
      <c r="B186" s="139">
        <f>588.3+1139.2</f>
        <v>1727.5</v>
      </c>
      <c r="C186" s="137"/>
    </row>
    <row r="187" spans="1:3" ht="15.75">
      <c r="A187" s="140" t="s">
        <v>523</v>
      </c>
      <c r="B187" s="141">
        <f>B172+B173+B174+B175+B176+B177+B179+B180+B181+B182+B183+B184+B185</f>
        <v>26301.472999999998</v>
      </c>
      <c r="C187" s="137"/>
    </row>
    <row r="188" spans="1:3" ht="15">
      <c r="A188" s="137"/>
      <c r="B188" s="137"/>
      <c r="C188" s="137"/>
    </row>
    <row r="189" spans="1:3" ht="15">
      <c r="A189" s="137" t="s">
        <v>519</v>
      </c>
      <c r="B189" s="137"/>
      <c r="C189" s="137"/>
    </row>
    <row r="190" spans="1:3" ht="15">
      <c r="A190" s="137" t="s">
        <v>535</v>
      </c>
      <c r="B190" s="137"/>
      <c r="C190" s="137"/>
    </row>
    <row r="191" spans="1:3" ht="15">
      <c r="A191" s="137"/>
      <c r="B191" s="137"/>
      <c r="C191" s="137"/>
    </row>
    <row r="192" spans="1:3" ht="15">
      <c r="A192" s="137" t="s">
        <v>421</v>
      </c>
      <c r="B192" s="139">
        <f>36</f>
        <v>36</v>
      </c>
      <c r="C192" s="137"/>
    </row>
    <row r="193" spans="1:3" ht="15">
      <c r="A193" s="137" t="s">
        <v>422</v>
      </c>
      <c r="B193" s="139">
        <f>36+73.4+140.8</f>
        <v>250.20000000000002</v>
      </c>
      <c r="C193" s="137"/>
    </row>
    <row r="194" spans="1:3" ht="15">
      <c r="A194" s="142" t="s">
        <v>426</v>
      </c>
      <c r="B194" s="139">
        <v>1727.8</v>
      </c>
      <c r="C194" s="137"/>
    </row>
    <row r="195" spans="1:3" ht="15">
      <c r="A195" s="142" t="s">
        <v>423</v>
      </c>
      <c r="B195" s="139">
        <f>((59.625/3)+(39.082/3))*12</f>
        <v>394.82799999999997</v>
      </c>
      <c r="C195" s="137"/>
    </row>
    <row r="196" spans="1:3" ht="15">
      <c r="A196" s="137" t="s">
        <v>424</v>
      </c>
      <c r="B196" s="139">
        <f>12.844*12</f>
        <v>154.12799999999999</v>
      </c>
      <c r="C196" s="137"/>
    </row>
    <row r="197" spans="1:3" ht="15">
      <c r="A197" s="137" t="s">
        <v>416</v>
      </c>
      <c r="B197" s="139">
        <v>41.4</v>
      </c>
      <c r="C197" s="137"/>
    </row>
    <row r="198" spans="1:3" ht="15">
      <c r="A198" s="137" t="s">
        <v>420</v>
      </c>
      <c r="B198" s="139">
        <f>40.789/3*12</f>
        <v>163.15600000000001</v>
      </c>
      <c r="C198" s="137"/>
    </row>
    <row r="199" spans="1:3" ht="15">
      <c r="A199" s="142" t="s">
        <v>425</v>
      </c>
      <c r="B199" s="139">
        <v>10031.799999999999</v>
      </c>
      <c r="C199" s="137"/>
    </row>
    <row r="200" spans="1:3" ht="15">
      <c r="A200" s="137" t="s">
        <v>461</v>
      </c>
      <c r="B200" s="139">
        <f>B201+B202</f>
        <v>13922</v>
      </c>
      <c r="C200" s="137"/>
    </row>
    <row r="201" spans="1:3" ht="15">
      <c r="A201" s="137" t="s">
        <v>455</v>
      </c>
      <c r="B201" s="139">
        <v>7312</v>
      </c>
      <c r="C201" s="137"/>
    </row>
    <row r="202" spans="1:3" ht="15">
      <c r="A202" s="137" t="s">
        <v>456</v>
      </c>
      <c r="B202" s="139">
        <f>5500+1110</f>
        <v>6610</v>
      </c>
      <c r="C202" s="137"/>
    </row>
    <row r="203" spans="1:3" ht="15.75">
      <c r="A203" s="140" t="s">
        <v>524</v>
      </c>
      <c r="B203" s="141">
        <f>B192+B193+B194+B195+B196+B197+B198+B199+B200</f>
        <v>26721.311999999998</v>
      </c>
      <c r="C203" s="137"/>
    </row>
    <row r="204" spans="1:3" ht="15">
      <c r="A204" s="137"/>
      <c r="B204" s="137"/>
      <c r="C204" s="137"/>
    </row>
    <row r="205" spans="1:3" ht="15">
      <c r="A205" s="137" t="s">
        <v>509</v>
      </c>
      <c r="B205" s="137"/>
    </row>
    <row r="206" spans="1:3" ht="15">
      <c r="A206" s="137" t="s">
        <v>534</v>
      </c>
      <c r="B206" s="137"/>
    </row>
    <row r="207" spans="1:3" ht="15">
      <c r="A207" s="137"/>
      <c r="B207" s="137"/>
      <c r="C207" s="137"/>
    </row>
    <row r="208" spans="1:3" ht="15">
      <c r="A208" s="137" t="s">
        <v>421</v>
      </c>
      <c r="B208" s="139">
        <f>11.73*12</f>
        <v>140.76</v>
      </c>
      <c r="C208" s="137"/>
    </row>
    <row r="209" spans="1:3" ht="15">
      <c r="A209" s="137" t="s">
        <v>422</v>
      </c>
      <c r="B209" s="139">
        <f>(47.704*12)*2</f>
        <v>1144.896</v>
      </c>
      <c r="C209" s="137"/>
    </row>
    <row r="210" spans="1:3" ht="15">
      <c r="A210" s="142" t="s">
        <v>426</v>
      </c>
      <c r="B210" s="139">
        <f>(46.586+97.396)*12+1000</f>
        <v>2727.7840000000001</v>
      </c>
      <c r="C210" s="137"/>
    </row>
    <row r="211" spans="1:3" ht="15">
      <c r="A211" s="142" t="s">
        <v>423</v>
      </c>
      <c r="B211" s="139">
        <f>((59.625/3)+(39.082/3))*12</f>
        <v>394.82799999999997</v>
      </c>
      <c r="C211" s="137"/>
    </row>
    <row r="212" spans="1:3" ht="15">
      <c r="A212" s="137" t="s">
        <v>424</v>
      </c>
      <c r="B212" s="139">
        <f>12.844*12</f>
        <v>154.12799999999999</v>
      </c>
      <c r="C212" s="137"/>
    </row>
    <row r="213" spans="1:3" ht="15">
      <c r="A213" s="137" t="s">
        <v>416</v>
      </c>
      <c r="B213" s="139">
        <v>41.4</v>
      </c>
      <c r="C213" s="137"/>
    </row>
    <row r="214" spans="1:3" ht="15">
      <c r="A214" s="137" t="s">
        <v>420</v>
      </c>
      <c r="B214" s="139">
        <f>40.789/3*12</f>
        <v>163.15600000000001</v>
      </c>
      <c r="C214" s="137"/>
    </row>
    <row r="215" spans="1:3" ht="15">
      <c r="A215" s="142" t="s">
        <v>425</v>
      </c>
      <c r="B215" s="139">
        <f>(5015.885*2)/2+500</f>
        <v>5515.8850000000002</v>
      </c>
      <c r="C215" s="137"/>
    </row>
    <row r="216" spans="1:3" ht="15">
      <c r="A216" s="137" t="s">
        <v>461</v>
      </c>
      <c r="B216" s="139">
        <f>B217+B218</f>
        <v>15812.538</v>
      </c>
      <c r="C216" s="137"/>
    </row>
    <row r="217" spans="1:3" ht="15">
      <c r="A217" s="137" t="s">
        <v>455</v>
      </c>
      <c r="B217" s="139">
        <v>8812.5380000000005</v>
      </c>
      <c r="C217" s="137"/>
    </row>
    <row r="218" spans="1:3" ht="15">
      <c r="A218" s="137" t="s">
        <v>456</v>
      </c>
      <c r="B218" s="139">
        <f>10500-3500</f>
        <v>7000</v>
      </c>
      <c r="C218" s="137"/>
    </row>
    <row r="219" spans="1:3" ht="15.75">
      <c r="A219" s="140" t="s">
        <v>524</v>
      </c>
      <c r="B219" s="141">
        <f>B208+B209+B210+B211+B212+B213+B214+B215+B216</f>
        <v>26095.375</v>
      </c>
      <c r="C219" s="137"/>
    </row>
    <row r="220" spans="1:3" ht="15">
      <c r="A220" s="137"/>
      <c r="B220" s="137"/>
      <c r="C220" s="137"/>
    </row>
    <row r="221" spans="1:3" ht="15">
      <c r="A221" s="137" t="s">
        <v>481</v>
      </c>
      <c r="B221" s="137" t="s">
        <v>482</v>
      </c>
      <c r="C221" s="137"/>
    </row>
    <row r="222" spans="1:3" ht="15">
      <c r="A222" s="137"/>
      <c r="B222" s="137"/>
      <c r="C222" s="137"/>
    </row>
    <row r="223" spans="1:3" ht="15">
      <c r="A223" s="184" t="s">
        <v>484</v>
      </c>
      <c r="B223" s="137"/>
      <c r="C223" s="137"/>
    </row>
  </sheetData>
  <pageMargins left="0.7" right="0.7" top="0.14000000000000001" bottom="0.32" header="0.2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12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Лист2</vt:lpstr>
      <vt:lpstr>Лист1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Admin</cp:lastModifiedBy>
  <cp:lastPrinted>2019-06-25T10:19:27Z</cp:lastPrinted>
  <dcterms:created xsi:type="dcterms:W3CDTF">2003-03-13T16:00:22Z</dcterms:created>
  <dcterms:modified xsi:type="dcterms:W3CDTF">2019-10-08T07:42:54Z</dcterms:modified>
</cp:coreProperties>
</file>